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FMVA\"/>
    </mc:Choice>
  </mc:AlternateContent>
  <xr:revisionPtr revIDLastSave="0" documentId="13_ncr:1_{AE0898B2-81C8-4073-A852-6AD29A8CAA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" sheetId="2" r:id="rId1"/>
    <sheet name="Outputs" sheetId="3" r:id="rId2"/>
    <sheet name="Inputs" sheetId="4" r:id="rId3"/>
    <sheet name="Model" sheetId="5" r:id="rId4"/>
  </sheets>
  <definedNames>
    <definedName name="_xlnm.Print_Area" localSheetId="0">Cover!$B$2:$O$39</definedName>
    <definedName name="_xlnm.Print_Area" localSheetId="2">Inputs!$B$3:$M$30,Inputs!$B$33:$M$66</definedName>
    <definedName name="_xlnm.Print_Area" localSheetId="3">Model!$B$3:$N$36,Model!$B$39:$N$72,Model!$B$75:$N$115,Model!$B$118:$N$156,Model!$B$159:$N$198,Model!$B$201:$N$232,Model!$B$235:$N$276,Model!$B$279:$N$305,Model!$B$308:$N$347,Model!$B$350:$N$378,Model!$B$381:$N$416,Model!$B$419:$N$444</definedName>
    <definedName name="_xlnm.Print_Area" localSheetId="1">Outputs!$B$3:$P$49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5" l="1"/>
  <c r="I5" i="5"/>
  <c r="J5" i="5"/>
  <c r="J203" i="5" s="1"/>
  <c r="B6" i="5" a="1"/>
  <c r="B6" i="5" s="1"/>
  <c r="B42" i="5" s="1"/>
  <c r="I8" i="5"/>
  <c r="I16" i="5" s="1"/>
  <c r="J8" i="5"/>
  <c r="J165" i="5" s="1"/>
  <c r="K8" i="5"/>
  <c r="K165" i="5" s="1"/>
  <c r="L8" i="5"/>
  <c r="M8" i="5"/>
  <c r="M165" i="5" s="1"/>
  <c r="I17" i="5"/>
  <c r="J17" i="5" s="1"/>
  <c r="K17" i="5" s="1"/>
  <c r="L17" i="5" s="1"/>
  <c r="M17" i="5" s="1"/>
  <c r="H41" i="5"/>
  <c r="I41" i="5"/>
  <c r="M63" i="5"/>
  <c r="I69" i="5"/>
  <c r="I77" i="5"/>
  <c r="J77" i="5"/>
  <c r="F114" i="5"/>
  <c r="G114" i="5"/>
  <c r="H114" i="5"/>
  <c r="I120" i="5"/>
  <c r="G126" i="5"/>
  <c r="H126" i="5"/>
  <c r="I129" i="5"/>
  <c r="J129" i="5" s="1"/>
  <c r="K129" i="5"/>
  <c r="L129" i="5" s="1"/>
  <c r="M129" i="5" s="1"/>
  <c r="F130" i="5"/>
  <c r="G130" i="5"/>
  <c r="G155" i="5" s="1"/>
  <c r="H130" i="5"/>
  <c r="I136" i="5"/>
  <c r="J136" i="5"/>
  <c r="F137" i="5"/>
  <c r="F138" i="5" s="1"/>
  <c r="F149" i="5" s="1"/>
  <c r="G137" i="5"/>
  <c r="G138" i="5" s="1"/>
  <c r="G149" i="5" s="1"/>
  <c r="H137" i="5"/>
  <c r="H138" i="5" s="1"/>
  <c r="G143" i="5"/>
  <c r="H143" i="5"/>
  <c r="H149" i="5"/>
  <c r="F150" i="5"/>
  <c r="G150" i="5"/>
  <c r="H150" i="5"/>
  <c r="F155" i="5"/>
  <c r="H155" i="5"/>
  <c r="I161" i="5"/>
  <c r="J161" i="5"/>
  <c r="F165" i="5"/>
  <c r="G165" i="5"/>
  <c r="H165" i="5"/>
  <c r="I165" i="5"/>
  <c r="L165" i="5"/>
  <c r="I170" i="5"/>
  <c r="J170" i="5" s="1"/>
  <c r="K170" i="5" s="1"/>
  <c r="F171" i="5"/>
  <c r="G171" i="5"/>
  <c r="G191" i="5" s="1"/>
  <c r="H171" i="5"/>
  <c r="I185" i="5"/>
  <c r="J185" i="5" s="1"/>
  <c r="F186" i="5"/>
  <c r="F196" i="5" s="1"/>
  <c r="G186" i="5"/>
  <c r="G196" i="5" s="1"/>
  <c r="H186" i="5"/>
  <c r="F191" i="5"/>
  <c r="H191" i="5"/>
  <c r="H196" i="5"/>
  <c r="H203" i="5"/>
  <c r="I203" i="5"/>
  <c r="F206" i="5"/>
  <c r="G206" i="5"/>
  <c r="H206" i="5"/>
  <c r="I206" i="5"/>
  <c r="F207" i="5"/>
  <c r="G207" i="5"/>
  <c r="H207" i="5"/>
  <c r="F208" i="5"/>
  <c r="G208" i="5"/>
  <c r="H208" i="5"/>
  <c r="H213" i="5" s="1"/>
  <c r="H212" i="5"/>
  <c r="I212" i="5"/>
  <c r="J212" i="5"/>
  <c r="K212" i="5"/>
  <c r="L212" i="5"/>
  <c r="M212" i="5"/>
  <c r="F213" i="5"/>
  <c r="I213" i="5"/>
  <c r="J213" i="5"/>
  <c r="K213" i="5"/>
  <c r="L213" i="5"/>
  <c r="M213" i="5"/>
  <c r="I214" i="5"/>
  <c r="J214" i="5"/>
  <c r="K214" i="5"/>
  <c r="L214" i="5"/>
  <c r="M214" i="5"/>
  <c r="F218" i="5"/>
  <c r="F212" i="5" s="1"/>
  <c r="G218" i="5"/>
  <c r="G226" i="5" s="1"/>
  <c r="H218" i="5"/>
  <c r="H226" i="5" s="1"/>
  <c r="F219" i="5"/>
  <c r="G227" i="5" s="1"/>
  <c r="G219" i="5"/>
  <c r="H219" i="5"/>
  <c r="F220" i="5"/>
  <c r="F214" i="5" s="1"/>
  <c r="G220" i="5"/>
  <c r="G214" i="5" s="1"/>
  <c r="H220" i="5"/>
  <c r="H214" i="5" s="1"/>
  <c r="I237" i="5"/>
  <c r="I249" i="5" s="1"/>
  <c r="J237" i="5"/>
  <c r="J258" i="5" s="1"/>
  <c r="D244" i="5"/>
  <c r="I245" i="5" s="1"/>
  <c r="J244" i="5"/>
  <c r="K244" i="5"/>
  <c r="L244" i="5" s="1"/>
  <c r="M244" i="5"/>
  <c r="D245" i="5"/>
  <c r="J249" i="5"/>
  <c r="D250" i="5"/>
  <c r="G250" i="5" s="1"/>
  <c r="F250" i="5"/>
  <c r="D251" i="5"/>
  <c r="I250" i="5" s="1"/>
  <c r="F251" i="5"/>
  <c r="F260" i="5" s="1"/>
  <c r="G251" i="5"/>
  <c r="I251" i="5"/>
  <c r="J252" i="5" s="1"/>
  <c r="K253" i="5" s="1"/>
  <c r="L254" i="5" s="1"/>
  <c r="G252" i="5"/>
  <c r="I252" i="5"/>
  <c r="J253" i="5" s="1"/>
  <c r="K254" i="5" s="1"/>
  <c r="G253" i="5"/>
  <c r="I253" i="5"/>
  <c r="J254" i="5" s="1"/>
  <c r="I254" i="5"/>
  <c r="I258" i="5"/>
  <c r="F259" i="5"/>
  <c r="H281" i="5"/>
  <c r="I281" i="5"/>
  <c r="J281" i="5"/>
  <c r="D286" i="5"/>
  <c r="D287" i="5"/>
  <c r="I291" i="5"/>
  <c r="H294" i="5"/>
  <c r="H301" i="5"/>
  <c r="I298" i="5" s="1"/>
  <c r="H310" i="5"/>
  <c r="I310" i="5"/>
  <c r="J310" i="5"/>
  <c r="D316" i="5"/>
  <c r="H335" i="5"/>
  <c r="I332" i="5" s="1"/>
  <c r="H352" i="5"/>
  <c r="I352" i="5"/>
  <c r="J352" i="5"/>
  <c r="H360" i="5"/>
  <c r="I358" i="5" s="1"/>
  <c r="I362" i="5"/>
  <c r="J362" i="5"/>
  <c r="K362" i="5" s="1"/>
  <c r="L362" i="5" s="1"/>
  <c r="M362" i="5" s="1"/>
  <c r="F363" i="5"/>
  <c r="I371" i="5"/>
  <c r="I61" i="5" s="1"/>
  <c r="J371" i="5"/>
  <c r="J61" i="5" s="1"/>
  <c r="K371" i="5"/>
  <c r="K61" i="5" s="1"/>
  <c r="L371" i="5"/>
  <c r="L61" i="5" s="1"/>
  <c r="M371" i="5"/>
  <c r="M392" i="5" s="1"/>
  <c r="H372" i="5"/>
  <c r="I370" i="5" s="1"/>
  <c r="I372" i="5" s="1"/>
  <c r="I374" i="5"/>
  <c r="J374" i="5" s="1"/>
  <c r="H383" i="5"/>
  <c r="I383" i="5"/>
  <c r="J383" i="5"/>
  <c r="I389" i="5"/>
  <c r="I392" i="5"/>
  <c r="J392" i="5"/>
  <c r="K392" i="5"/>
  <c r="L392" i="5"/>
  <c r="K393" i="5"/>
  <c r="M393" i="5"/>
  <c r="I402" i="5"/>
  <c r="H404" i="5"/>
  <c r="I406" i="5"/>
  <c r="J406" i="5" s="1"/>
  <c r="K406" i="5"/>
  <c r="L406" i="5"/>
  <c r="M406" i="5"/>
  <c r="F407" i="5"/>
  <c r="I407" i="5" s="1"/>
  <c r="H421" i="5"/>
  <c r="I421" i="5"/>
  <c r="J421" i="5"/>
  <c r="I427" i="5"/>
  <c r="I429" i="5" s="1"/>
  <c r="I428" i="5"/>
  <c r="I63" i="5" s="1"/>
  <c r="J428" i="5"/>
  <c r="J393" i="5" s="1"/>
  <c r="K428" i="5"/>
  <c r="K63" i="5" s="1"/>
  <c r="L428" i="5"/>
  <c r="L63" i="5" s="1"/>
  <c r="M428" i="5"/>
  <c r="H429" i="5"/>
  <c r="I432" i="5"/>
  <c r="J432" i="5"/>
  <c r="K432" i="5" s="1"/>
  <c r="I440" i="5"/>
  <c r="H443" i="5"/>
  <c r="H5" i="4"/>
  <c r="I5" i="4"/>
  <c r="J5" i="4"/>
  <c r="K5" i="4" s="1"/>
  <c r="L5" i="4" s="1"/>
  <c r="H10" i="4" a="1"/>
  <c r="H10" i="4" s="1"/>
  <c r="I126" i="5" s="1"/>
  <c r="I128" i="5" s="1"/>
  <c r="I10" i="4" a="1"/>
  <c r="I10" i="4" s="1"/>
  <c r="J126" i="5" s="1"/>
  <c r="J10" i="4" a="1"/>
  <c r="J10" i="4" s="1"/>
  <c r="K126" i="5" s="1"/>
  <c r="K10" i="4" a="1"/>
  <c r="K10" i="4" s="1"/>
  <c r="L126" i="5" s="1"/>
  <c r="L10" i="4" a="1"/>
  <c r="L10" i="4" s="1"/>
  <c r="M126" i="5" s="1"/>
  <c r="H17" i="4" a="1"/>
  <c r="H17" i="4" s="1"/>
  <c r="I143" i="5" s="1"/>
  <c r="I144" i="5" s="1"/>
  <c r="I17" i="4" a="1"/>
  <c r="I17" i="4" s="1"/>
  <c r="J143" i="5" s="1"/>
  <c r="J17" i="4" a="1"/>
  <c r="J17" i="4" s="1"/>
  <c r="K143" i="5" s="1"/>
  <c r="K17" i="4" a="1"/>
  <c r="K17" i="4" s="1"/>
  <c r="L143" i="5" s="1"/>
  <c r="L17" i="4" a="1"/>
  <c r="L17" i="4" s="1"/>
  <c r="M143" i="5" s="1"/>
  <c r="B19" i="4"/>
  <c r="B20" i="4"/>
  <c r="B21" i="4"/>
  <c r="H24" i="4" a="1"/>
  <c r="H24" i="4" s="1"/>
  <c r="I240" i="5" s="1"/>
  <c r="I284" i="5" s="1"/>
  <c r="I292" i="5" s="1"/>
  <c r="I299" i="5" s="1"/>
  <c r="I24" i="4" a="1"/>
  <c r="I24" i="4" s="1"/>
  <c r="J24" i="4" a="1"/>
  <c r="J24" i="4" s="1"/>
  <c r="K240" i="5" s="1"/>
  <c r="K284" i="5" s="1"/>
  <c r="K292" i="5" s="1"/>
  <c r="K299" i="5" s="1"/>
  <c r="K24" i="4" a="1"/>
  <c r="K24" i="4" s="1"/>
  <c r="L56" i="5" s="1"/>
  <c r="L57" i="5" s="1"/>
  <c r="L24" i="4" a="1"/>
  <c r="L24" i="4" s="1"/>
  <c r="M56" i="5" s="1"/>
  <c r="M57" i="5" s="1"/>
  <c r="B26" i="4"/>
  <c r="B27" i="4"/>
  <c r="B28" i="4"/>
  <c r="H35" i="4"/>
  <c r="I35" i="4" s="1"/>
  <c r="J35" i="4" s="1"/>
  <c r="K35" i="4" s="1"/>
  <c r="L35" i="4" s="1"/>
  <c r="K55" i="4"/>
  <c r="K56" i="4"/>
  <c r="K5" i="3"/>
  <c r="J5" i="3" s="1"/>
  <c r="I5" i="3" s="1"/>
  <c r="H5" i="3" s="1"/>
  <c r="H11" i="3"/>
  <c r="I11" i="3"/>
  <c r="J11" i="3"/>
  <c r="H13" i="3"/>
  <c r="H14" i="3" s="1"/>
  <c r="I13" i="3"/>
  <c r="I14" i="3" s="1"/>
  <c r="J13" i="3"/>
  <c r="J14" i="3"/>
  <c r="H16" i="3"/>
  <c r="I16" i="3"/>
  <c r="J16" i="3"/>
  <c r="J17" i="3" s="1"/>
  <c r="H17" i="3"/>
  <c r="I17" i="3"/>
  <c r="H22" i="3"/>
  <c r="I22" i="3"/>
  <c r="J22" i="3"/>
  <c r="H23" i="3"/>
  <c r="H25" i="3" s="1"/>
  <c r="I23" i="3"/>
  <c r="I25" i="3" s="1"/>
  <c r="J23" i="3"/>
  <c r="H24" i="3"/>
  <c r="I24" i="3"/>
  <c r="J24" i="3"/>
  <c r="J25" i="3"/>
  <c r="C26" i="2"/>
  <c r="C27" i="2"/>
  <c r="D27" i="2"/>
  <c r="C28" i="2"/>
  <c r="D28" i="2"/>
  <c r="L391" i="5" l="1"/>
  <c r="N23" i="3"/>
  <c r="B384" i="5"/>
  <c r="B162" i="5"/>
  <c r="B353" i="5"/>
  <c r="B238" i="5"/>
  <c r="B78" i="5"/>
  <c r="B422" i="5"/>
  <c r="B311" i="5"/>
  <c r="M391" i="5"/>
  <c r="O23" i="3"/>
  <c r="J128" i="5"/>
  <c r="I130" i="5"/>
  <c r="I155" i="5" s="1"/>
  <c r="I137" i="5"/>
  <c r="I138" i="5" s="1"/>
  <c r="I149" i="5" s="1"/>
  <c r="I363" i="5"/>
  <c r="I412" i="5" s="1"/>
  <c r="I26" i="5" s="1"/>
  <c r="F164" i="5"/>
  <c r="F151" i="5"/>
  <c r="K374" i="5"/>
  <c r="I106" i="5"/>
  <c r="J427" i="5"/>
  <c r="J429" i="5" s="1"/>
  <c r="I100" i="5"/>
  <c r="J370" i="5"/>
  <c r="J372" i="5" s="1"/>
  <c r="I375" i="5"/>
  <c r="I411" i="5" s="1"/>
  <c r="J144" i="5"/>
  <c r="I150" i="5"/>
  <c r="L170" i="5"/>
  <c r="L432" i="5"/>
  <c r="I300" i="5"/>
  <c r="I323" i="5" s="1"/>
  <c r="J251" i="5"/>
  <c r="K252" i="5" s="1"/>
  <c r="L253" i="5" s="1"/>
  <c r="M254" i="5" s="1"/>
  <c r="J250" i="5"/>
  <c r="K136" i="5"/>
  <c r="J206" i="5"/>
  <c r="J63" i="5"/>
  <c r="M240" i="5"/>
  <c r="M284" i="5" s="1"/>
  <c r="M292" i="5" s="1"/>
  <c r="M299" i="5" s="1"/>
  <c r="H228" i="5"/>
  <c r="G151" i="5"/>
  <c r="G164" i="5"/>
  <c r="L5" i="3"/>
  <c r="M5" i="3" s="1"/>
  <c r="N5" i="3" s="1"/>
  <c r="O5" i="3" s="1"/>
  <c r="L240" i="5"/>
  <c r="L284" i="5" s="1"/>
  <c r="L292" i="5" s="1"/>
  <c r="L299" i="5" s="1"/>
  <c r="G228" i="5"/>
  <c r="G229" i="5" s="1"/>
  <c r="M61" i="5"/>
  <c r="F252" i="5"/>
  <c r="H227" i="5"/>
  <c r="G213" i="5"/>
  <c r="J16" i="5"/>
  <c r="K16" i="5" s="1"/>
  <c r="L16" i="5" s="1"/>
  <c r="M16" i="5" s="1"/>
  <c r="L393" i="5"/>
  <c r="I184" i="5"/>
  <c r="I169" i="5"/>
  <c r="B121" i="5"/>
  <c r="B204" i="5"/>
  <c r="B282" i="5"/>
  <c r="H151" i="5"/>
  <c r="H164" i="5"/>
  <c r="K56" i="5"/>
  <c r="K57" i="5" s="1"/>
  <c r="I393" i="5"/>
  <c r="K185" i="5"/>
  <c r="I56" i="5"/>
  <c r="I57" i="5" s="1"/>
  <c r="J56" i="5"/>
  <c r="J57" i="5" s="1"/>
  <c r="J240" i="5"/>
  <c r="J284" i="5" s="1"/>
  <c r="J292" i="5" s="1"/>
  <c r="J299" i="5" s="1"/>
  <c r="I269" i="5"/>
  <c r="G5" i="5"/>
  <c r="H77" i="5"/>
  <c r="H120" i="5"/>
  <c r="H161" i="5"/>
  <c r="H237" i="5"/>
  <c r="C245" i="5" s="1"/>
  <c r="G254" i="5"/>
  <c r="J41" i="5"/>
  <c r="J120" i="5"/>
  <c r="G212" i="5"/>
  <c r="J245" i="5"/>
  <c r="J269" i="5" s="1"/>
  <c r="K5" i="5"/>
  <c r="I25" i="5" l="1"/>
  <c r="I413" i="5"/>
  <c r="K245" i="5"/>
  <c r="K269" i="5" s="1"/>
  <c r="I151" i="5"/>
  <c r="I11" i="5" s="1"/>
  <c r="I164" i="5"/>
  <c r="I173" i="5" s="1"/>
  <c r="F261" i="5"/>
  <c r="F253" i="5"/>
  <c r="K144" i="5"/>
  <c r="J150" i="5"/>
  <c r="M432" i="5"/>
  <c r="K370" i="5"/>
  <c r="K372" i="5" s="1"/>
  <c r="J100" i="5"/>
  <c r="J391" i="5"/>
  <c r="L23" i="3"/>
  <c r="J137" i="5"/>
  <c r="J138" i="5" s="1"/>
  <c r="J149" i="5" s="1"/>
  <c r="J130" i="5"/>
  <c r="J155" i="5" s="1"/>
  <c r="K128" i="5"/>
  <c r="J184" i="5"/>
  <c r="I186" i="5"/>
  <c r="I196" i="5" s="1"/>
  <c r="J375" i="5"/>
  <c r="M170" i="5"/>
  <c r="L245" i="5"/>
  <c r="L269" i="5" s="1"/>
  <c r="G180" i="5"/>
  <c r="G173" i="5"/>
  <c r="G181" i="5"/>
  <c r="G174" i="5"/>
  <c r="K375" i="5"/>
  <c r="L374" i="5"/>
  <c r="I391" i="5"/>
  <c r="K23" i="3"/>
  <c r="J106" i="5"/>
  <c r="K427" i="5"/>
  <c r="K429" i="5" s="1"/>
  <c r="L185" i="5"/>
  <c r="J169" i="5"/>
  <c r="I171" i="5"/>
  <c r="I191" i="5" s="1"/>
  <c r="F5" i="5"/>
  <c r="G77" i="5"/>
  <c r="G120" i="5"/>
  <c r="G41" i="5"/>
  <c r="G161" i="5"/>
  <c r="G203" i="5"/>
  <c r="K391" i="5"/>
  <c r="M23" i="3"/>
  <c r="K251" i="5"/>
  <c r="L252" i="5" s="1"/>
  <c r="M253" i="5" s="1"/>
  <c r="K250" i="5"/>
  <c r="L136" i="5"/>
  <c r="K206" i="5"/>
  <c r="K161" i="5"/>
  <c r="K237" i="5"/>
  <c r="K310" i="5"/>
  <c r="L5" i="5"/>
  <c r="K77" i="5"/>
  <c r="K120" i="5"/>
  <c r="K41" i="5"/>
  <c r="K281" i="5"/>
  <c r="K383" i="5"/>
  <c r="K421" i="5"/>
  <c r="K352" i="5"/>
  <c r="K203" i="5"/>
  <c r="H174" i="5"/>
  <c r="H181" i="5"/>
  <c r="H173" i="5"/>
  <c r="H180" i="5"/>
  <c r="H229" i="5"/>
  <c r="F173" i="5"/>
  <c r="F180" i="5"/>
  <c r="F181" i="5"/>
  <c r="F174" i="5"/>
  <c r="I301" i="5"/>
  <c r="J298" i="5" s="1"/>
  <c r="I174" i="5" l="1"/>
  <c r="I175" i="5" s="1"/>
  <c r="I195" i="5" s="1"/>
  <c r="I197" i="5" s="1"/>
  <c r="I12" i="5" s="1"/>
  <c r="I208" i="5" s="1"/>
  <c r="I181" i="5"/>
  <c r="K150" i="5"/>
  <c r="L144" i="5"/>
  <c r="M136" i="5"/>
  <c r="M206" i="5" s="1"/>
  <c r="L206" i="5"/>
  <c r="J164" i="5"/>
  <c r="J173" i="5" s="1"/>
  <c r="J151" i="5"/>
  <c r="J11" i="5" s="1"/>
  <c r="H182" i="5"/>
  <c r="H192" i="5" s="1"/>
  <c r="H193" i="5" s="1"/>
  <c r="L41" i="5"/>
  <c r="L203" i="5"/>
  <c r="M5" i="5"/>
  <c r="L77" i="5"/>
  <c r="L352" i="5"/>
  <c r="L383" i="5"/>
  <c r="L421" i="5"/>
  <c r="L281" i="5"/>
  <c r="L120" i="5"/>
  <c r="L237" i="5"/>
  <c r="L310" i="5"/>
  <c r="L161" i="5"/>
  <c r="M245" i="5"/>
  <c r="M269" i="5" s="1"/>
  <c r="L251" i="5"/>
  <c r="M252" i="5" s="1"/>
  <c r="L250" i="5"/>
  <c r="M185" i="5"/>
  <c r="F182" i="5"/>
  <c r="F192" i="5" s="1"/>
  <c r="F193" i="5" s="1"/>
  <c r="K106" i="5"/>
  <c r="L427" i="5"/>
  <c r="L429" i="5" s="1"/>
  <c r="F175" i="5"/>
  <c r="F195" i="5" s="1"/>
  <c r="F197" i="5" s="1"/>
  <c r="I207" i="5"/>
  <c r="I218" i="5" s="1"/>
  <c r="K11" i="3"/>
  <c r="H175" i="5"/>
  <c r="H195" i="5" s="1"/>
  <c r="H197" i="5" s="1"/>
  <c r="K100" i="5"/>
  <c r="L370" i="5"/>
  <c r="L372" i="5" s="1"/>
  <c r="K137" i="5"/>
  <c r="K138" i="5" s="1"/>
  <c r="K149" i="5" s="1"/>
  <c r="L128" i="5"/>
  <c r="K130" i="5"/>
  <c r="K155" i="5" s="1"/>
  <c r="K249" i="5"/>
  <c r="K258" i="5"/>
  <c r="J171" i="5"/>
  <c r="J191" i="5" s="1"/>
  <c r="K169" i="5"/>
  <c r="J300" i="5"/>
  <c r="J323" i="5" s="1"/>
  <c r="F254" i="5"/>
  <c r="F263" i="5" s="1"/>
  <c r="F262" i="5"/>
  <c r="G175" i="5"/>
  <c r="G195" i="5" s="1"/>
  <c r="G197" i="5" s="1"/>
  <c r="G182" i="5"/>
  <c r="G192" i="5" s="1"/>
  <c r="G193" i="5" s="1"/>
  <c r="F120" i="5"/>
  <c r="F41" i="5"/>
  <c r="F203" i="5"/>
  <c r="F161" i="5"/>
  <c r="F77" i="5"/>
  <c r="K184" i="5"/>
  <c r="J186" i="5"/>
  <c r="J196" i="5" s="1"/>
  <c r="L375" i="5"/>
  <c r="M374" i="5"/>
  <c r="I180" i="5"/>
  <c r="I182" i="5" l="1"/>
  <c r="I192" i="5" s="1"/>
  <c r="I193" i="5" s="1"/>
  <c r="I13" i="5"/>
  <c r="I18" i="5" s="1"/>
  <c r="K13" i="3" s="1"/>
  <c r="K14" i="3" s="1"/>
  <c r="L249" i="5"/>
  <c r="L258" i="5"/>
  <c r="J181" i="5"/>
  <c r="J174" i="5"/>
  <c r="M250" i="5"/>
  <c r="M251" i="5"/>
  <c r="J207" i="5"/>
  <c r="J218" i="5" s="1"/>
  <c r="L11" i="3"/>
  <c r="M427" i="5"/>
  <c r="M429" i="5" s="1"/>
  <c r="M106" i="5" s="1"/>
  <c r="L106" i="5"/>
  <c r="I219" i="5"/>
  <c r="I220" i="5"/>
  <c r="I83" i="5"/>
  <c r="I226" i="5"/>
  <c r="K151" i="5"/>
  <c r="K11" i="5" s="1"/>
  <c r="K164" i="5"/>
  <c r="K180" i="5" s="1"/>
  <c r="M41" i="5"/>
  <c r="M161" i="5"/>
  <c r="M237" i="5"/>
  <c r="M310" i="5"/>
  <c r="M352" i="5"/>
  <c r="M281" i="5"/>
  <c r="M120" i="5"/>
  <c r="M383" i="5"/>
  <c r="M421" i="5"/>
  <c r="M77" i="5"/>
  <c r="M203" i="5"/>
  <c r="G263" i="5"/>
  <c r="H263" i="5" s="1"/>
  <c r="M128" i="5"/>
  <c r="L130" i="5"/>
  <c r="L155" i="5" s="1"/>
  <c r="L137" i="5"/>
  <c r="L138" i="5" s="1"/>
  <c r="L149" i="5" s="1"/>
  <c r="M144" i="5"/>
  <c r="M150" i="5" s="1"/>
  <c r="L150" i="5"/>
  <c r="L184" i="5"/>
  <c r="K186" i="5"/>
  <c r="K196" i="5" s="1"/>
  <c r="J301" i="5"/>
  <c r="K298" i="5" s="1"/>
  <c r="L100" i="5"/>
  <c r="M370" i="5"/>
  <c r="M372" i="5" s="1"/>
  <c r="M100" i="5" s="1"/>
  <c r="J175" i="5"/>
  <c r="J195" i="5" s="1"/>
  <c r="J197" i="5" s="1"/>
  <c r="J12" i="5" s="1"/>
  <c r="J208" i="5" s="1"/>
  <c r="J180" i="5"/>
  <c r="K171" i="5"/>
  <c r="K191" i="5" s="1"/>
  <c r="K173" i="5"/>
  <c r="L169" i="5"/>
  <c r="M375" i="5"/>
  <c r="J13" i="5" l="1"/>
  <c r="J18" i="5" s="1"/>
  <c r="L13" i="3" s="1"/>
  <c r="J182" i="5"/>
  <c r="J192" i="5" s="1"/>
  <c r="J193" i="5" s="1"/>
  <c r="L14" i="3"/>
  <c r="I49" i="5"/>
  <c r="I95" i="5"/>
  <c r="I228" i="5"/>
  <c r="I51" i="5" s="1"/>
  <c r="I84" i="5"/>
  <c r="I227" i="5"/>
  <c r="I50" i="5" s="1"/>
  <c r="L151" i="5"/>
  <c r="L11" i="5" s="1"/>
  <c r="L164" i="5"/>
  <c r="M249" i="5"/>
  <c r="M258" i="5"/>
  <c r="G259" i="5"/>
  <c r="H259" i="5" s="1"/>
  <c r="G261" i="5"/>
  <c r="H261" i="5" s="1"/>
  <c r="G260" i="5"/>
  <c r="H260" i="5" s="1"/>
  <c r="M169" i="5"/>
  <c r="L171" i="5"/>
  <c r="L191" i="5" s="1"/>
  <c r="J83" i="5"/>
  <c r="J219" i="5"/>
  <c r="J227" i="5" s="1"/>
  <c r="J50" i="5" s="1"/>
  <c r="J220" i="5"/>
  <c r="M137" i="5"/>
  <c r="M138" i="5" s="1"/>
  <c r="M149" i="5" s="1"/>
  <c r="M130" i="5"/>
  <c r="M155" i="5" s="1"/>
  <c r="N16" i="2" s="1"/>
  <c r="K263" i="5"/>
  <c r="L263" i="5"/>
  <c r="M263" i="5"/>
  <c r="I263" i="5"/>
  <c r="J263" i="5"/>
  <c r="K174" i="5"/>
  <c r="K175" i="5" s="1"/>
  <c r="K195" i="5" s="1"/>
  <c r="K197" i="5" s="1"/>
  <c r="K12" i="5" s="1"/>
  <c r="K208" i="5" s="1"/>
  <c r="K181" i="5"/>
  <c r="K182" i="5" s="1"/>
  <c r="K192" i="5" s="1"/>
  <c r="K193" i="5" s="1"/>
  <c r="G262" i="5"/>
  <c r="H262" i="5" s="1"/>
  <c r="K207" i="5"/>
  <c r="K218" i="5" s="1"/>
  <c r="K226" i="5" s="1"/>
  <c r="M11" i="3"/>
  <c r="M184" i="5"/>
  <c r="L186" i="5"/>
  <c r="L196" i="5" s="1"/>
  <c r="K300" i="5"/>
  <c r="K323" i="5" s="1"/>
  <c r="K301" i="5"/>
  <c r="L298" i="5" s="1"/>
  <c r="J226" i="5"/>
  <c r="N11" i="3" l="1"/>
  <c r="L207" i="5"/>
  <c r="L218" i="5" s="1"/>
  <c r="L226" i="5" s="1"/>
  <c r="L300" i="5"/>
  <c r="L323" i="5" s="1"/>
  <c r="K260" i="5"/>
  <c r="I260" i="5"/>
  <c r="J260" i="5"/>
  <c r="L260" i="5"/>
  <c r="M260" i="5"/>
  <c r="K220" i="5"/>
  <c r="K219" i="5"/>
  <c r="K227" i="5" s="1"/>
  <c r="J95" i="5"/>
  <c r="J228" i="5"/>
  <c r="J51" i="5" s="1"/>
  <c r="L174" i="5"/>
  <c r="L181" i="5"/>
  <c r="J49" i="5"/>
  <c r="K49" i="5"/>
  <c r="L180" i="5"/>
  <c r="M186" i="5"/>
  <c r="M196" i="5" s="1"/>
  <c r="J261" i="5"/>
  <c r="K261" i="5"/>
  <c r="L261" i="5"/>
  <c r="M261" i="5"/>
  <c r="I261" i="5"/>
  <c r="J262" i="5"/>
  <c r="L262" i="5"/>
  <c r="I262" i="5"/>
  <c r="K262" i="5"/>
  <c r="M262" i="5"/>
  <c r="L173" i="5"/>
  <c r="L175" i="5" s="1"/>
  <c r="L195" i="5" s="1"/>
  <c r="L197" i="5" s="1"/>
  <c r="L12" i="5" s="1"/>
  <c r="L208" i="5" s="1"/>
  <c r="M171" i="5"/>
  <c r="M191" i="5" s="1"/>
  <c r="K83" i="5"/>
  <c r="J259" i="5"/>
  <c r="L259" i="5"/>
  <c r="I259" i="5"/>
  <c r="K259" i="5"/>
  <c r="M259" i="5"/>
  <c r="I229" i="5"/>
  <c r="J84" i="5"/>
  <c r="K13" i="5"/>
  <c r="K18" i="5" s="1"/>
  <c r="M13" i="3" s="1"/>
  <c r="M14" i="3" s="1"/>
  <c r="M151" i="5"/>
  <c r="M11" i="5" s="1"/>
  <c r="M164" i="5"/>
  <c r="M180" i="5" s="1"/>
  <c r="L182" i="5" l="1"/>
  <c r="L192" i="5" s="1"/>
  <c r="L193" i="5" s="1"/>
  <c r="K50" i="5"/>
  <c r="L49" i="5"/>
  <c r="I270" i="5"/>
  <c r="I271" i="5" s="1"/>
  <c r="L220" i="5"/>
  <c r="L219" i="5"/>
  <c r="K95" i="5"/>
  <c r="K228" i="5"/>
  <c r="K51" i="5" s="1"/>
  <c r="M270" i="5"/>
  <c r="M271" i="5" s="1"/>
  <c r="K270" i="5"/>
  <c r="K271" i="5" s="1"/>
  <c r="L270" i="5"/>
  <c r="L271" i="5" s="1"/>
  <c r="J270" i="5"/>
  <c r="J271" i="5" s="1"/>
  <c r="J229" i="5"/>
  <c r="L301" i="5"/>
  <c r="M298" i="5" s="1"/>
  <c r="M174" i="5"/>
  <c r="M181" i="5"/>
  <c r="M182" i="5" s="1"/>
  <c r="M192" i="5" s="1"/>
  <c r="M193" i="5" s="1"/>
  <c r="L83" i="5"/>
  <c r="K84" i="5"/>
  <c r="L227" i="5"/>
  <c r="L50" i="5" s="1"/>
  <c r="M207" i="5"/>
  <c r="M218" i="5" s="1"/>
  <c r="M83" i="5" s="1"/>
  <c r="O11" i="3"/>
  <c r="M173" i="5"/>
  <c r="L13" i="5"/>
  <c r="L18" i="5" s="1"/>
  <c r="N13" i="3" s="1"/>
  <c r="N14" i="3" s="1"/>
  <c r="K293" i="5" l="1"/>
  <c r="K322" i="5" s="1"/>
  <c r="K21" i="5"/>
  <c r="L84" i="5"/>
  <c r="M226" i="5"/>
  <c r="M300" i="5"/>
  <c r="M323" i="5" s="1"/>
  <c r="I21" i="5"/>
  <c r="I293" i="5"/>
  <c r="M175" i="5"/>
  <c r="M195" i="5" s="1"/>
  <c r="M197" i="5" s="1"/>
  <c r="M12" i="5" s="1"/>
  <c r="J293" i="5"/>
  <c r="J322" i="5" s="1"/>
  <c r="J21" i="5"/>
  <c r="K229" i="5"/>
  <c r="M21" i="5"/>
  <c r="M293" i="5"/>
  <c r="M322" i="5" s="1"/>
  <c r="L228" i="5"/>
  <c r="L51" i="5" s="1"/>
  <c r="L95" i="5"/>
  <c r="L21" i="5"/>
  <c r="L293" i="5"/>
  <c r="L322" i="5" s="1"/>
  <c r="M301" i="5" l="1"/>
  <c r="I322" i="5"/>
  <c r="I294" i="5"/>
  <c r="I48" i="5"/>
  <c r="I22" i="5"/>
  <c r="I27" i="5" s="1"/>
  <c r="I313" i="5" s="1"/>
  <c r="I321" i="5" s="1"/>
  <c r="L229" i="5"/>
  <c r="M208" i="5"/>
  <c r="M13" i="5"/>
  <c r="M18" i="5" s="1"/>
  <c r="O13" i="3" s="1"/>
  <c r="O14" i="3" s="1"/>
  <c r="L22" i="5"/>
  <c r="L48" i="5"/>
  <c r="M49" i="5"/>
  <c r="M48" i="5"/>
  <c r="J22" i="5"/>
  <c r="J48" i="5"/>
  <c r="K48" i="5"/>
  <c r="K22" i="5"/>
  <c r="M220" i="5" l="1"/>
  <c r="M219" i="5"/>
  <c r="I324" i="5"/>
  <c r="I342" i="5"/>
  <c r="I333" i="5"/>
  <c r="M22" i="5"/>
  <c r="I87" i="5"/>
  <c r="J291" i="5"/>
  <c r="J294" i="5" s="1"/>
  <c r="I327" i="5" l="1"/>
  <c r="I314" i="5"/>
  <c r="M84" i="5"/>
  <c r="M227" i="5"/>
  <c r="M95" i="5"/>
  <c r="M228" i="5"/>
  <c r="M51" i="5" s="1"/>
  <c r="J87" i="5"/>
  <c r="K291" i="5"/>
  <c r="K294" i="5" s="1"/>
  <c r="M50" i="5" l="1"/>
  <c r="M229" i="5"/>
  <c r="L291" i="5"/>
  <c r="L294" i="5" s="1"/>
  <c r="K87" i="5"/>
  <c r="I334" i="5"/>
  <c r="I328" i="5" l="1"/>
  <c r="I329" i="5" s="1"/>
  <c r="I340" i="5" s="1"/>
  <c r="I335" i="5"/>
  <c r="J332" i="5" s="1"/>
  <c r="M291" i="5"/>
  <c r="M294" i="5" s="1"/>
  <c r="M87" i="5" s="1"/>
  <c r="L87" i="5"/>
  <c r="I30" i="5" l="1"/>
  <c r="I341" i="5"/>
  <c r="I31" i="5" l="1"/>
  <c r="I47" i="5" s="1"/>
  <c r="I99" i="5"/>
  <c r="I32" i="5" l="1"/>
  <c r="I35" i="5" s="1"/>
  <c r="I46" i="5" l="1"/>
  <c r="I52" i="5" s="1"/>
  <c r="I431" i="5"/>
  <c r="I433" i="5" s="1"/>
  <c r="I441" i="5"/>
  <c r="K16" i="3"/>
  <c r="K17" i="3" s="1"/>
  <c r="I64" i="5" l="1"/>
  <c r="I394" i="5"/>
  <c r="I442" i="5"/>
  <c r="I443" i="5" s="1"/>
  <c r="I390" i="5"/>
  <c r="K22" i="3"/>
  <c r="I395" i="5" l="1"/>
  <c r="I403" i="5" s="1"/>
  <c r="I62" i="5" s="1"/>
  <c r="I65" i="5" s="1"/>
  <c r="I107" i="5"/>
  <c r="I108" i="5" s="1"/>
  <c r="J440" i="5"/>
  <c r="I404" i="5" l="1"/>
  <c r="I96" i="5" s="1"/>
  <c r="I97" i="5" s="1"/>
  <c r="I101" i="5" s="1"/>
  <c r="I111" i="5" s="1"/>
  <c r="K24" i="3"/>
  <c r="K25" i="3" s="1"/>
  <c r="I70" i="5"/>
  <c r="J402" i="5" l="1"/>
  <c r="J407" i="5"/>
  <c r="J411" i="5" s="1"/>
  <c r="I71" i="5"/>
  <c r="I359" i="5"/>
  <c r="I360" i="5" s="1"/>
  <c r="J358" i="5" s="1"/>
  <c r="J363" i="5" l="1"/>
  <c r="J412" i="5" s="1"/>
  <c r="J26" i="5" s="1"/>
  <c r="I82" i="5"/>
  <c r="I85" i="5" s="1"/>
  <c r="I90" i="5" s="1"/>
  <c r="I114" i="5" s="1"/>
  <c r="J69" i="5"/>
  <c r="J25" i="5"/>
  <c r="J413" i="5" l="1"/>
  <c r="J27" i="5"/>
  <c r="J313" i="5" s="1"/>
  <c r="J321" i="5" s="1"/>
  <c r="J324" i="5" s="1"/>
  <c r="J389" i="5"/>
  <c r="J342" i="5"/>
  <c r="J333" i="5"/>
  <c r="J314" i="5" l="1"/>
  <c r="J327" i="5"/>
  <c r="J334" i="5" l="1"/>
  <c r="J328" i="5" l="1"/>
  <c r="J329" i="5" s="1"/>
  <c r="J340" i="5" s="1"/>
  <c r="J335" i="5"/>
  <c r="K332" i="5" s="1"/>
  <c r="J30" i="5" l="1"/>
  <c r="J341" i="5"/>
  <c r="J31" i="5" l="1"/>
  <c r="J47" i="5" s="1"/>
  <c r="J99" i="5"/>
  <c r="J32" i="5"/>
  <c r="J35" i="5" s="1"/>
  <c r="J46" i="5" l="1"/>
  <c r="J52" i="5" s="1"/>
  <c r="J441" i="5"/>
  <c r="L16" i="3"/>
  <c r="L17" i="3" s="1"/>
  <c r="J431" i="5"/>
  <c r="J433" i="5" s="1"/>
  <c r="J394" i="5" l="1"/>
  <c r="J442" i="5"/>
  <c r="J64" i="5"/>
  <c r="J443" i="5"/>
  <c r="J390" i="5"/>
  <c r="L22" i="3"/>
  <c r="J395" i="5" l="1"/>
  <c r="J403" i="5" s="1"/>
  <c r="J107" i="5"/>
  <c r="J108" i="5" s="1"/>
  <c r="K440" i="5"/>
  <c r="J62" i="5" l="1"/>
  <c r="J65" i="5" s="1"/>
  <c r="J404" i="5"/>
  <c r="J96" i="5" l="1"/>
  <c r="J97" i="5" s="1"/>
  <c r="J101" i="5" s="1"/>
  <c r="J111" i="5" s="1"/>
  <c r="K402" i="5"/>
  <c r="L24" i="3"/>
  <c r="L25" i="3" s="1"/>
  <c r="J70" i="5"/>
  <c r="J359" i="5" l="1"/>
  <c r="J360" i="5" s="1"/>
  <c r="K358" i="5" s="1"/>
  <c r="J71" i="5"/>
  <c r="K407" i="5"/>
  <c r="K411" i="5" s="1"/>
  <c r="K25" i="5" l="1"/>
  <c r="K69" i="5"/>
  <c r="J82" i="5"/>
  <c r="J85" i="5" s="1"/>
  <c r="J90" i="5" s="1"/>
  <c r="J114" i="5" s="1"/>
  <c r="K363" i="5"/>
  <c r="K412" i="5" s="1"/>
  <c r="K26" i="5" s="1"/>
  <c r="K389" i="5" l="1"/>
  <c r="K413" i="5"/>
  <c r="K27" i="5"/>
  <c r="K313" i="5" s="1"/>
  <c r="K321" i="5" s="1"/>
  <c r="K333" i="5" l="1"/>
  <c r="K324" i="5"/>
  <c r="K342" i="5"/>
  <c r="K327" i="5" l="1"/>
  <c r="K314" i="5"/>
  <c r="K334" i="5" l="1"/>
  <c r="K328" i="5" l="1"/>
  <c r="K329" i="5" s="1"/>
  <c r="K340" i="5" s="1"/>
  <c r="K335" i="5"/>
  <c r="L332" i="5" s="1"/>
  <c r="K30" i="5" l="1"/>
  <c r="K341" i="5"/>
  <c r="K31" i="5" l="1"/>
  <c r="K47" i="5" s="1"/>
  <c r="K99" i="5"/>
  <c r="K32" i="5" l="1"/>
  <c r="K35" i="5" s="1"/>
  <c r="K46" i="5" l="1"/>
  <c r="K52" i="5" s="1"/>
  <c r="K441" i="5"/>
  <c r="M16" i="3"/>
  <c r="M17" i="3" s="1"/>
  <c r="K431" i="5"/>
  <c r="K433" i="5" s="1"/>
  <c r="K64" i="5" l="1"/>
  <c r="K394" i="5"/>
  <c r="K442" i="5"/>
  <c r="K443" i="5"/>
  <c r="K390" i="5"/>
  <c r="K395" i="5" s="1"/>
  <c r="K403" i="5" s="1"/>
  <c r="M22" i="3"/>
  <c r="K62" i="5" l="1"/>
  <c r="K65" i="5" s="1"/>
  <c r="K404" i="5"/>
  <c r="L440" i="5"/>
  <c r="K107" i="5"/>
  <c r="K108" i="5" s="1"/>
  <c r="K96" i="5" l="1"/>
  <c r="K97" i="5" s="1"/>
  <c r="K101" i="5" s="1"/>
  <c r="K111" i="5" s="1"/>
  <c r="L402" i="5"/>
  <c r="M24" i="3"/>
  <c r="M25" i="3" s="1"/>
  <c r="K70" i="5"/>
  <c r="L407" i="5" l="1"/>
  <c r="L411" i="5" s="1"/>
  <c r="K359" i="5"/>
  <c r="K360" i="5" s="1"/>
  <c r="L358" i="5" s="1"/>
  <c r="K71" i="5"/>
  <c r="L25" i="5" l="1"/>
  <c r="K82" i="5"/>
  <c r="K85" i="5" s="1"/>
  <c r="K90" i="5" s="1"/>
  <c r="K114" i="5" s="1"/>
  <c r="L69" i="5"/>
  <c r="L363" i="5"/>
  <c r="L412" i="5" s="1"/>
  <c r="L26" i="5" s="1"/>
  <c r="L413" i="5" l="1"/>
  <c r="L389" i="5"/>
  <c r="L27" i="5"/>
  <c r="L313" i="5" s="1"/>
  <c r="L321" i="5" s="1"/>
  <c r="L324" i="5" l="1"/>
  <c r="L342" i="5"/>
  <c r="L333" i="5"/>
  <c r="L314" i="5" l="1"/>
  <c r="L327" i="5"/>
  <c r="L334" i="5" l="1"/>
  <c r="L328" i="5" l="1"/>
  <c r="L329" i="5" s="1"/>
  <c r="L340" i="5" s="1"/>
  <c r="L335" i="5"/>
  <c r="M332" i="5" s="1"/>
  <c r="L30" i="5" l="1"/>
  <c r="L341" i="5"/>
  <c r="L31" i="5" l="1"/>
  <c r="L47" i="5" s="1"/>
  <c r="L99" i="5"/>
  <c r="L32" i="5"/>
  <c r="L35" i="5" s="1"/>
  <c r="L46" i="5" l="1"/>
  <c r="L52" i="5" s="1"/>
  <c r="L431" i="5"/>
  <c r="L433" i="5" s="1"/>
  <c r="L441" i="5"/>
  <c r="N16" i="3"/>
  <c r="N17" i="3" s="1"/>
  <c r="L394" i="5" l="1"/>
  <c r="L64" i="5"/>
  <c r="L442" i="5"/>
  <c r="L443" i="5"/>
  <c r="N22" i="3"/>
  <c r="L390" i="5"/>
  <c r="L395" i="5" l="1"/>
  <c r="L403" i="5" s="1"/>
  <c r="L62" i="5" s="1"/>
  <c r="L65" i="5" s="1"/>
  <c r="L107" i="5"/>
  <c r="L108" i="5" s="1"/>
  <c r="M440" i="5"/>
  <c r="L404" i="5" l="1"/>
  <c r="L96" i="5" s="1"/>
  <c r="L97" i="5" s="1"/>
  <c r="L101" i="5" s="1"/>
  <c r="L111" i="5" s="1"/>
  <c r="N24" i="3"/>
  <c r="N25" i="3" s="1"/>
  <c r="L70" i="5"/>
  <c r="M402" i="5" l="1"/>
  <c r="M407" i="5" s="1"/>
  <c r="M411" i="5" s="1"/>
  <c r="L359" i="5"/>
  <c r="L360" i="5" s="1"/>
  <c r="M358" i="5" s="1"/>
  <c r="L71" i="5"/>
  <c r="M363" i="5" l="1"/>
  <c r="M412" i="5" s="1"/>
  <c r="M26" i="5" s="1"/>
  <c r="M25" i="5"/>
  <c r="M69" i="5"/>
  <c r="L82" i="5"/>
  <c r="L85" i="5" s="1"/>
  <c r="L90" i="5" s="1"/>
  <c r="L114" i="5" s="1"/>
  <c r="M27" i="5" l="1"/>
  <c r="M313" i="5" s="1"/>
  <c r="M321" i="5" s="1"/>
  <c r="M333" i="5" s="1"/>
  <c r="M413" i="5"/>
  <c r="M389" i="5"/>
  <c r="M342" i="5" l="1"/>
  <c r="M324" i="5"/>
  <c r="M314" i="5" s="1"/>
  <c r="M327" i="5"/>
  <c r="M334" i="5" l="1"/>
  <c r="M328" i="5" l="1"/>
  <c r="M329" i="5" s="1"/>
  <c r="M340" i="5" s="1"/>
  <c r="M335" i="5"/>
  <c r="D317" i="5" s="1"/>
  <c r="N17" i="2" s="1"/>
  <c r="M30" i="5" l="1"/>
  <c r="M341" i="5"/>
  <c r="M31" i="5" l="1"/>
  <c r="M47" i="5" s="1"/>
  <c r="M99" i="5"/>
  <c r="M32" i="5" l="1"/>
  <c r="M35" i="5" s="1"/>
  <c r="M46" i="5"/>
  <c r="M52" i="5" s="1"/>
  <c r="M431" i="5"/>
  <c r="M433" i="5" s="1"/>
  <c r="M441" i="5"/>
  <c r="O16" i="3"/>
  <c r="O17" i="3" s="1"/>
  <c r="M64" i="5" l="1"/>
  <c r="M442" i="5"/>
  <c r="M443" i="5" s="1"/>
  <c r="M107" i="5" s="1"/>
  <c r="M108" i="5" s="1"/>
  <c r="M394" i="5"/>
  <c r="M390" i="5"/>
  <c r="O22" i="3"/>
  <c r="M395" i="5" l="1"/>
  <c r="M403" i="5" s="1"/>
  <c r="M404" i="5" s="1"/>
  <c r="M96" i="5" s="1"/>
  <c r="M97" i="5" s="1"/>
  <c r="M101" i="5" s="1"/>
  <c r="M111" i="5" s="1"/>
  <c r="M62" i="5" l="1"/>
  <c r="M65" i="5" s="1"/>
  <c r="O24" i="3" s="1"/>
  <c r="O25" i="3" s="1"/>
  <c r="M70" i="5"/>
  <c r="M359" i="5" l="1"/>
  <c r="M360" i="5" s="1"/>
  <c r="M71" i="5"/>
  <c r="M82" i="5" s="1"/>
  <c r="M85" i="5" s="1"/>
  <c r="M90" i="5" s="1"/>
  <c r="M114" i="5" s="1"/>
  <c r="N18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<sst xmlns="http://schemas.openxmlformats.org/spreadsheetml/2006/main" count="368" uniqueCount="215">
  <si>
    <t xml:space="preserve"> </t>
  </si>
  <si>
    <t>Off</t>
  </si>
  <si>
    <t>On</t>
  </si>
  <si>
    <t>Circularity</t>
  </si>
  <si>
    <t>Delete</t>
  </si>
  <si>
    <t>Do Not</t>
  </si>
  <si>
    <t>Model Circularity</t>
  </si>
  <si>
    <t>Balance Sheet Unbalanced?</t>
  </si>
  <si>
    <t>Model</t>
  </si>
  <si>
    <t>Unused Tax Losses Remaining?</t>
  </si>
  <si>
    <t>Inputs</t>
  </si>
  <si>
    <t>Model Exceeding Operational Capacity?</t>
  </si>
  <si>
    <t>Outputs</t>
  </si>
  <si>
    <t>Model Checks</t>
  </si>
  <si>
    <t>Table of Contents</t>
  </si>
  <si>
    <t>3-Statement Modeling</t>
  </si>
  <si>
    <t>CASH FLOW STATEMENT</t>
  </si>
  <si>
    <t>INCOME STATEMENT</t>
  </si>
  <si>
    <t>Change in Cash</t>
  </si>
  <si>
    <t>Financing</t>
  </si>
  <si>
    <t>Investing</t>
  </si>
  <si>
    <t>Operating</t>
  </si>
  <si>
    <t>Net Income Margin</t>
  </si>
  <si>
    <t>Net Income</t>
  </si>
  <si>
    <t>EBITDA Margin</t>
  </si>
  <si>
    <t>EBITDA</t>
  </si>
  <si>
    <t>Revenue</t>
  </si>
  <si>
    <t>Driver Switch</t>
  </si>
  <si>
    <t>All figures in USD thousands unless stated</t>
  </si>
  <si>
    <t>Dashboard: Charts &amp; Graphs</t>
  </si>
  <si>
    <t>(Years)</t>
  </si>
  <si>
    <t>Useful Life: New Assets</t>
  </si>
  <si>
    <t>Long Term Debt</t>
  </si>
  <si>
    <t>Useful Life: Existing Assets</t>
  </si>
  <si>
    <t>Revolving Credit Line</t>
  </si>
  <si>
    <t>First Year Accounting Depreciation</t>
  </si>
  <si>
    <t>Cash Balances</t>
  </si>
  <si>
    <t>Depreciation</t>
  </si>
  <si>
    <t>Interest Rates</t>
  </si>
  <si>
    <t>Dividend Payout Ratio</t>
  </si>
  <si>
    <t>(Units/Day)</t>
  </si>
  <si>
    <t>Plant Capacity</t>
  </si>
  <si>
    <t>Tax Losses</t>
  </si>
  <si>
    <t>Other Single Inputs</t>
  </si>
  <si>
    <t>Tax Basis for Assets</t>
  </si>
  <si>
    <t>Blended Tax Depreciation Rate</t>
  </si>
  <si>
    <t>First Year Tax Depreciation</t>
  </si>
  <si>
    <t>Days in Period</t>
  </si>
  <si>
    <t>Tax Rate</t>
  </si>
  <si>
    <t>(YYYY)</t>
  </si>
  <si>
    <t>First Year of Forecast</t>
  </si>
  <si>
    <t>Taxes</t>
  </si>
  <si>
    <t>Dates</t>
  </si>
  <si>
    <t>Increase / (Decrease)</t>
  </si>
  <si>
    <t>Common Equity</t>
  </si>
  <si>
    <t>Term Debt</t>
  </si>
  <si>
    <t>Inflation Rate</t>
  </si>
  <si>
    <t>Other Annual Inputs</t>
  </si>
  <si>
    <t>(Days)</t>
  </si>
  <si>
    <t>Accounts Payable</t>
  </si>
  <si>
    <t>Inventory</t>
  </si>
  <si>
    <t>Accounts Receivable</t>
  </si>
  <si>
    <t>Working Capital</t>
  </si>
  <si>
    <t>Other Inputs</t>
  </si>
  <si>
    <t>Capital Expenditure</t>
  </si>
  <si>
    <t>Pricing Increases</t>
  </si>
  <si>
    <t>Worst Case</t>
  </si>
  <si>
    <t>Base Case</t>
  </si>
  <si>
    <t>Best Case</t>
  </si>
  <si>
    <t>Sales Volume Growth</t>
  </si>
  <si>
    <t>Drivers</t>
  </si>
  <si>
    <t>Ending Balance</t>
  </si>
  <si>
    <t>Dividends</t>
  </si>
  <si>
    <t>Beginning Balance</t>
  </si>
  <si>
    <t>RETAINED EARNINGS</t>
  </si>
  <si>
    <t>Dividend</t>
  </si>
  <si>
    <t>Payout Ratio</t>
  </si>
  <si>
    <t>COMMON EQUITY</t>
  </si>
  <si>
    <t>Equity Schedule</t>
  </si>
  <si>
    <t>Net Interest Expense</t>
  </si>
  <si>
    <t>Less: Interest Income</t>
  </si>
  <si>
    <t>Interest Expense</t>
  </si>
  <si>
    <t>Interest Rate</t>
  </si>
  <si>
    <t>REVOLVING CREDIT LINE</t>
  </si>
  <si>
    <t>Cash Available for Revolving Credit Line</t>
  </si>
  <si>
    <t>Change in Common Equity</t>
  </si>
  <si>
    <t>Change in Long-Term Debt</t>
  </si>
  <si>
    <t>Cash from Investing</t>
  </si>
  <si>
    <t>Cash from Operations</t>
  </si>
  <si>
    <t>Beginning Cash Balance</t>
  </si>
  <si>
    <t>AVAILABLE CASH</t>
  </si>
  <si>
    <t>Debt Schedule: Part 2</t>
  </si>
  <si>
    <t>LONG TERM DEBT</t>
  </si>
  <si>
    <t>Interest Income</t>
  </si>
  <si>
    <t>CASH</t>
  </si>
  <si>
    <t>Debt Schedule: Part 1</t>
  </si>
  <si>
    <t xml:space="preserve">This schedule assumes losses do not carry back to previous periods to reduce taxable income. </t>
  </si>
  <si>
    <t xml:space="preserve">This schedule assumes that tax losses can be carried forward indefinitely into the future. </t>
  </si>
  <si>
    <t>Total Taxes</t>
  </si>
  <si>
    <t>Deferred Taxes</t>
  </si>
  <si>
    <t>Current Taxes</t>
  </si>
  <si>
    <t>TAXES</t>
  </si>
  <si>
    <t>Ending</t>
  </si>
  <si>
    <t>Less: Use of Tax Losses</t>
  </si>
  <si>
    <t>Add: New Losses</t>
  </si>
  <si>
    <t>Beginning</t>
  </si>
  <si>
    <t>TAX LOSSES</t>
  </si>
  <si>
    <t>Taxable Income</t>
  </si>
  <si>
    <r>
      <t xml:space="preserve">Less: Use of Tax Losses </t>
    </r>
    <r>
      <rPr>
        <vertAlign val="superscript"/>
        <sz val="10"/>
        <rFont val="Open Sans"/>
        <family val="2"/>
      </rPr>
      <t>2</t>
    </r>
  </si>
  <si>
    <t>EBT After Adjustment</t>
  </si>
  <si>
    <r>
      <t xml:space="preserve">ADJUSTMENT FOR TAX LOSSES </t>
    </r>
    <r>
      <rPr>
        <b/>
        <vertAlign val="superscript"/>
        <sz val="10"/>
        <rFont val="Open Sans"/>
        <family val="2"/>
      </rPr>
      <t>1</t>
    </r>
  </si>
  <si>
    <t>Less: Tax Depreciation</t>
  </si>
  <si>
    <t>Add: Accounting Depreciation</t>
  </si>
  <si>
    <t>EBT</t>
  </si>
  <si>
    <t>ADJUSTMENT FOR DEPRECIATION</t>
  </si>
  <si>
    <t>Profitable Before Taxes?</t>
  </si>
  <si>
    <t>Earnings Before Tax (EBT)</t>
  </si>
  <si>
    <t>Income Tax Schedule</t>
  </si>
  <si>
    <t xml:space="preserve">Model assumes no dispositions that would impact the PP&amp;E or the Tax Basis. </t>
  </si>
  <si>
    <t>Tax Depreciation</t>
  </si>
  <si>
    <r>
      <t xml:space="preserve">TAX BASIS </t>
    </r>
    <r>
      <rPr>
        <b/>
        <vertAlign val="superscript"/>
        <sz val="10"/>
        <rFont val="Open Sans"/>
        <family val="2"/>
      </rPr>
      <t>1</t>
    </r>
  </si>
  <si>
    <t>Accounting Depreciation</t>
  </si>
  <si>
    <r>
      <t xml:space="preserve">PROPERTY PLANT &amp; EQUIPMENT </t>
    </r>
    <r>
      <rPr>
        <b/>
        <vertAlign val="superscript"/>
        <sz val="10"/>
        <rFont val="Open Sans"/>
        <family val="2"/>
      </rPr>
      <t>1</t>
    </r>
  </si>
  <si>
    <t>Asset Schedule</t>
  </si>
  <si>
    <t xml:space="preserve">This schedule calculates depreciation on a straight-line basis. </t>
  </si>
  <si>
    <t xml:space="preserve">All PP&amp;E and capital expenditure is assumed depreciable (i.e. no land balance). </t>
  </si>
  <si>
    <t>Total Depreciation</t>
  </si>
  <si>
    <t>New Assets</t>
  </si>
  <si>
    <t>Existing Assets</t>
  </si>
  <si>
    <r>
      <t xml:space="preserve">TOTAL ASSET DEPRECIATION </t>
    </r>
    <r>
      <rPr>
        <b/>
        <vertAlign val="superscript"/>
        <sz val="9"/>
        <rFont val="Open Sans"/>
        <family val="2"/>
      </rPr>
      <t>2</t>
    </r>
  </si>
  <si>
    <t>Per Yr</t>
  </si>
  <si>
    <t>Capex</t>
  </si>
  <si>
    <t>Year</t>
  </si>
  <si>
    <t>Amounts for Depreciation</t>
  </si>
  <si>
    <t>First Year Amount</t>
  </si>
  <si>
    <t>Useful Life</t>
  </si>
  <si>
    <t>Life</t>
  </si>
  <si>
    <r>
      <t xml:space="preserve">NEW ASSETS </t>
    </r>
    <r>
      <rPr>
        <b/>
        <vertAlign val="superscript"/>
        <sz val="10"/>
        <rFont val="Open Sans"/>
        <family val="2"/>
      </rPr>
      <t>1</t>
    </r>
  </si>
  <si>
    <t>Percent of Full Year</t>
  </si>
  <si>
    <t>PP&amp;E</t>
  </si>
  <si>
    <r>
      <t xml:space="preserve">EXISTING ASSETS </t>
    </r>
    <r>
      <rPr>
        <b/>
        <vertAlign val="superscript"/>
        <sz val="10"/>
        <rFont val="Open Sans"/>
        <family val="2"/>
      </rPr>
      <t>1</t>
    </r>
  </si>
  <si>
    <t xml:space="preserve">Capital Expenditure </t>
  </si>
  <si>
    <t>Depreciation Schedule</t>
  </si>
  <si>
    <t>Cash from Working Capital Items</t>
  </si>
  <si>
    <t>CASH CHANGES</t>
  </si>
  <si>
    <t>TOTAL AMOUNTS</t>
  </si>
  <si>
    <t>AMOUNTS PER DAY</t>
  </si>
  <si>
    <t>COGS</t>
  </si>
  <si>
    <t>Working Capital Schedule</t>
  </si>
  <si>
    <t>Total Costs</t>
  </si>
  <si>
    <t>Fixed Costs</t>
  </si>
  <si>
    <t>Variable Costs</t>
  </si>
  <si>
    <t>(USD/Unit)</t>
  </si>
  <si>
    <t>SUMMARY</t>
  </si>
  <si>
    <t>Subtotal</t>
  </si>
  <si>
    <t>Utilities</t>
  </si>
  <si>
    <t>Labor</t>
  </si>
  <si>
    <t>FIXED COSTS</t>
  </si>
  <si>
    <t>Packaging</t>
  </si>
  <si>
    <t>Materials</t>
  </si>
  <si>
    <t>VARIABLE COSTS</t>
  </si>
  <si>
    <t>Inflation</t>
  </si>
  <si>
    <t>Sales Volume</t>
  </si>
  <si>
    <t>Cost Schedule</t>
  </si>
  <si>
    <t>Operational Capacity Exceeded?</t>
  </si>
  <si>
    <t>Sales Price</t>
  </si>
  <si>
    <t>(Units)</t>
  </si>
  <si>
    <t>REVENUE</t>
  </si>
  <si>
    <t>Unit Price</t>
  </si>
  <si>
    <t>PRICING</t>
  </si>
  <si>
    <t>VOLUME</t>
  </si>
  <si>
    <t>Operational Efficiency</t>
  </si>
  <si>
    <t>OPERATIONS</t>
  </si>
  <si>
    <t>Revenue Schedule</t>
  </si>
  <si>
    <t>Check</t>
  </si>
  <si>
    <t>Total Liabilities &amp; Equity</t>
  </si>
  <si>
    <t>Total Shareholders' Equity</t>
  </si>
  <si>
    <t>Retained Earnings</t>
  </si>
  <si>
    <t>EQUITY</t>
  </si>
  <si>
    <t>Total Liabilities</t>
  </si>
  <si>
    <t>Long-Term Debt</t>
  </si>
  <si>
    <t>Total Current Liabilities</t>
  </si>
  <si>
    <t>LIABILITIES</t>
  </si>
  <si>
    <t>Total Assets</t>
  </si>
  <si>
    <t>Property Plant &amp; Equipment</t>
  </si>
  <si>
    <t>Total Current Assets</t>
  </si>
  <si>
    <t>Inventories</t>
  </si>
  <si>
    <t>Cash</t>
  </si>
  <si>
    <t>ASSETS</t>
  </si>
  <si>
    <t>Balance Sheet</t>
  </si>
  <si>
    <t>End of the Year</t>
  </si>
  <si>
    <t>Beginning of the Year</t>
  </si>
  <si>
    <t>CASH BALANCE</t>
  </si>
  <si>
    <t/>
  </si>
  <si>
    <t>Change in Revolving Credit Line</t>
  </si>
  <si>
    <t>CASH FROM FINANCING</t>
  </si>
  <si>
    <t>CASH FROM INVESTING</t>
  </si>
  <si>
    <t>Cash From Accounts Payable</t>
  </si>
  <si>
    <t>Cash From Inventory</t>
  </si>
  <si>
    <t>Cash From Accounts Receivable</t>
  </si>
  <si>
    <t>CASH FROM OPERATING</t>
  </si>
  <si>
    <t>Cash Flow Statement</t>
  </si>
  <si>
    <t>Total Tax</t>
  </si>
  <si>
    <t>Deferred Tax</t>
  </si>
  <si>
    <t>Current Tax</t>
  </si>
  <si>
    <t>EBIT</t>
  </si>
  <si>
    <t>Other</t>
  </si>
  <si>
    <t>SG&amp;A</t>
  </si>
  <si>
    <t>Gross Profit</t>
  </si>
  <si>
    <t>Income Statement</t>
  </si>
  <si>
    <t>Company Name</t>
  </si>
  <si>
    <t>Cover Page</t>
  </si>
  <si>
    <t>Prepared By: Sanjeeb Bhatta</t>
  </si>
  <si>
    <t>This report is prepared as a part of learning project which is based on fictitious data provided by the Corporate Finance</t>
  </si>
  <si>
    <t xml:space="preserve">Institute for learning purpose. The templete used here is provided by the CFI.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</si>
</sst>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3" formatCode="_-* #,##0.00_-;\-* #,##0.00_-;_-* &quot;-&quot;??_-;_-@_-"/>
    <numFmt numFmtId="164" formatCode="_(#,##0_)_%;\(#,##0\)_%;_(&quot;–&quot;_)_%;_(@_)_%"/>
    <numFmt numFmtId="165" formatCode="&quot;Yes&quot;;&quot;ERROR&quot;;&quot;No&quot;;&quot;ERROR&quot;"/>
    <numFmt numFmtId="166" formatCode="[=1]&quot;Yes&quot;;[=0]&quot;No&quot;"/>
    <numFmt numFmtId="167" formatCode="[=1]&quot;☑️&quot;_);[=0]&quot;⬜&quot;_)"/>
    <numFmt numFmtId="168" formatCode="_(#,##0_);\(#,##0\);_(&quot;–&quot;_);_(@_)"/>
    <numFmt numFmtId="169" formatCode="_(#,##0.0%_);\(#,##0.0%\);_(&quot;–&quot;_)_%;_(@_)_%"/>
    <numFmt numFmtId="170" formatCode="0.0%"/>
    <numFmt numFmtId="171" formatCode="yyyy/mm/dd;@"/>
    <numFmt numFmtId="172" formatCode="0&quot;F&quot;"/>
    <numFmt numFmtId="173" formatCode="0000\A"/>
    <numFmt numFmtId="174" formatCode="0&quot;A&quot;"/>
    <numFmt numFmtId="175" formatCode="_(#,##0.00_);\(#,##0.00\);_(&quot;–&quot;_);_(@_)"/>
    <numFmt numFmtId="176" formatCode="_(#,##0%_);\(#,##0%\);_(&quot;–&quot;_)_%;_(@_)_%"/>
    <numFmt numFmtId="177" formatCode="_-* #,##0_-;\(#,##0\)_-;_-* &quot;-&quot;_-;_-@_-"/>
    <numFmt numFmtId="178" formatCode="0000_)"/>
    <numFmt numFmtId="179" formatCode="#,##0_);[Red]\(#,##0\);\-"/>
    <numFmt numFmtId="180" formatCode="0&quot;E&quot;"/>
    <numFmt numFmtId="181" formatCode="[=1]&quot;On&quot;_);[=2]&quot;Off&quot;_)"/>
    <numFmt numFmtId="182" formatCode="@\⁽\²\⁾"/>
    <numFmt numFmtId="183" formatCode="@\⁽\¹\⁾"/>
    <numFmt numFmtId="184" formatCode="#,##0_);\(#,##0\);\-"/>
    <numFmt numFmtId="185" formatCode="[=1]&quot;Yes&quot;_);[=0]&quot;No&quot;_)"/>
    <numFmt numFmtId="186" formatCode="#,##0.00_);\(#,##0.00\);\-"/>
    <numFmt numFmtId="187" formatCode="#,##0.0_);\(#,##0.0\);\-"/>
    <numFmt numFmtId="188" formatCode="0&quot;F&quot;\ "/>
    <numFmt numFmtId="189" formatCode="&quot;Yr&quot;\ 0"/>
    <numFmt numFmtId="190" formatCode="#,##0_)\⁽\⁹\⁾;\(#,##0\)\⁽\⁹\⁾"/>
    <numFmt numFmtId="191" formatCode="[=0]&quot;-&quot;_);[=1]&quot;Yes&quot;_)"/>
    <numFmt numFmtId="192" formatCode="_(#,##0.0_);\(#,##0.0\);_(&quot;–&quot;_);_(@_)"/>
    <numFmt numFmtId="193" formatCode="_-* #,##0.00_-;\(#,##0.00\)_-;_-* &quot;-&quot;_-;_-@_-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sz val="10"/>
      <color theme="0"/>
      <name val="Open Sans"/>
      <family val="2"/>
    </font>
    <font>
      <sz val="11"/>
      <color theme="0"/>
      <name val="Open Sans"/>
      <family val="2"/>
    </font>
    <font>
      <sz val="10"/>
      <color theme="1"/>
      <name val="Open Sans"/>
      <family val="2"/>
    </font>
    <font>
      <u/>
      <sz val="10"/>
      <color theme="10"/>
      <name val="Arial"/>
      <family val="2"/>
    </font>
    <font>
      <sz val="12"/>
      <color theme="1"/>
      <name val="Open Sans"/>
      <family val="2"/>
    </font>
    <font>
      <sz val="11"/>
      <color rgb="FF947131"/>
      <name val="Open Sans"/>
      <family val="2"/>
    </font>
    <font>
      <b/>
      <sz val="11"/>
      <color rgb="FF947131"/>
      <name val="Open Sans"/>
      <family val="2"/>
    </font>
    <font>
      <b/>
      <sz val="10"/>
      <name val="Open Sans"/>
      <family val="2"/>
    </font>
    <font>
      <u/>
      <sz val="11"/>
      <color rgb="FF947131"/>
      <name val="Open Sans"/>
      <family val="2"/>
    </font>
    <font>
      <sz val="12"/>
      <color rgb="FF002060"/>
      <name val="Open Sans"/>
      <family val="2"/>
    </font>
    <font>
      <sz val="10"/>
      <color rgb="FF002060"/>
      <name val="Open Sans"/>
      <family val="2"/>
    </font>
    <font>
      <b/>
      <sz val="10"/>
      <color rgb="FF947131"/>
      <name val="Open Sans"/>
      <family val="2"/>
    </font>
    <font>
      <sz val="10"/>
      <name val="Open Sans"/>
      <family val="2"/>
    </font>
    <font>
      <sz val="11"/>
      <color rgb="FF3271D2"/>
      <name val="Open Sans"/>
      <family val="2"/>
    </font>
    <font>
      <sz val="11"/>
      <name val="Open Sans"/>
      <family val="2"/>
    </font>
    <font>
      <sz val="12"/>
      <color rgb="FF000000"/>
      <name val="Open Sans"/>
      <family val="2"/>
    </font>
    <font>
      <b/>
      <sz val="14"/>
      <color rgb="FF132E57"/>
      <name val="Open Sans"/>
      <family val="2"/>
    </font>
    <font>
      <sz val="11"/>
      <color rgb="FFFA621C"/>
      <name val="Open Sans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Open Sans"/>
      <family val="2"/>
    </font>
    <font>
      <b/>
      <sz val="11"/>
      <color theme="1"/>
      <name val="Open Sans"/>
      <family val="2"/>
    </font>
    <font>
      <sz val="10"/>
      <color rgb="FFFF0000"/>
      <name val="Open Sans"/>
      <family val="2"/>
    </font>
    <font>
      <b/>
      <sz val="20"/>
      <color rgb="FF4472C4"/>
      <name val="Open Sans"/>
      <family val="2"/>
    </font>
    <font>
      <sz val="8"/>
      <color theme="1"/>
      <name val="Open Sans"/>
      <family val="2"/>
    </font>
    <font>
      <sz val="11"/>
      <name val="Arial Narrow"/>
      <family val="2"/>
    </font>
    <font>
      <sz val="8"/>
      <name val="Open Sans"/>
      <family val="2"/>
    </font>
    <font>
      <sz val="10"/>
      <name val="Arial"/>
      <family val="2"/>
    </font>
    <font>
      <sz val="8"/>
      <color rgb="FF947131"/>
      <name val="Open Sans"/>
      <family val="2"/>
    </font>
    <font>
      <sz val="10"/>
      <color rgb="FF000000"/>
      <name val="Open Sans"/>
      <family val="2"/>
    </font>
    <font>
      <i/>
      <sz val="10"/>
      <name val="Open Sans"/>
      <family val="2"/>
    </font>
    <font>
      <sz val="10"/>
      <color rgb="FF0000FF"/>
      <name val="Open Sans"/>
      <family val="2"/>
    </font>
    <font>
      <i/>
      <sz val="10"/>
      <color theme="1"/>
      <name val="Open Sans"/>
      <family val="2"/>
    </font>
    <font>
      <b/>
      <sz val="10"/>
      <color rgb="FF000000"/>
      <name val="Open Sans"/>
      <family val="2"/>
    </font>
    <font>
      <b/>
      <sz val="10"/>
      <color rgb="FF3271D2"/>
      <name val="Open Sans"/>
      <family val="2"/>
    </font>
    <font>
      <b/>
      <sz val="10"/>
      <color theme="0"/>
      <name val="Open Sans"/>
      <family val="2"/>
    </font>
    <font>
      <i/>
      <sz val="9"/>
      <name val="Open Sans"/>
      <family val="2"/>
    </font>
    <font>
      <b/>
      <sz val="14"/>
      <color rgb="FF3271D2"/>
      <name val="Open Sans"/>
      <family val="2"/>
    </font>
    <font>
      <sz val="10"/>
      <color rgb="FF3271D2"/>
      <name val="Open Sans"/>
      <family val="2"/>
    </font>
    <font>
      <b/>
      <sz val="14"/>
      <color theme="0"/>
      <name val="Open Sans"/>
      <family val="2"/>
    </font>
    <font>
      <i/>
      <sz val="8"/>
      <color theme="1"/>
      <name val="Open Sans"/>
      <family val="2"/>
    </font>
    <font>
      <sz val="10"/>
      <name val="Bookman"/>
      <family val="1"/>
    </font>
    <font>
      <b/>
      <sz val="10"/>
      <color theme="1"/>
      <name val="Open Sans"/>
      <family val="2"/>
    </font>
    <font>
      <sz val="11"/>
      <color rgb="FFC32838"/>
      <name val="Open Sans"/>
      <family val="2"/>
    </font>
    <font>
      <i/>
      <sz val="11"/>
      <color rgb="FF000000"/>
      <name val="Open Sans"/>
      <family val="2"/>
    </font>
    <font>
      <sz val="11"/>
      <color rgb="FF000000"/>
      <name val="Open Sans"/>
      <family val="2"/>
    </font>
    <font>
      <i/>
      <sz val="10"/>
      <color rgb="FF000000"/>
      <name val="Open Sans"/>
      <family val="2"/>
    </font>
    <font>
      <i/>
      <sz val="11"/>
      <color theme="1"/>
      <name val="Open Sans"/>
      <family val="2"/>
    </font>
    <font>
      <sz val="10"/>
      <color rgb="FFFA621C"/>
      <name val="Open Sans"/>
      <family val="2"/>
    </font>
    <font>
      <b/>
      <sz val="14"/>
      <color rgb="FF0000FF"/>
      <name val="Open Sans"/>
      <family val="2"/>
    </font>
    <font>
      <b/>
      <sz val="10"/>
      <color rgb="FFFA621C"/>
      <name val="Open Sans"/>
      <family val="2"/>
    </font>
    <font>
      <sz val="14"/>
      <color theme="1"/>
      <name val="Open Sans"/>
      <family val="2"/>
    </font>
    <font>
      <sz val="10"/>
      <color theme="9" tint="-0.249977111117893"/>
      <name val="Open Sans"/>
      <family val="2"/>
    </font>
    <font>
      <sz val="9"/>
      <name val="Open Sans"/>
      <family val="2"/>
    </font>
    <font>
      <b/>
      <sz val="10"/>
      <color rgb="FFFFFFFF"/>
      <name val="Open Sans"/>
      <family val="2"/>
    </font>
    <font>
      <i/>
      <sz val="9"/>
      <color rgb="FF000000"/>
      <name val="Open Sans"/>
      <family val="2"/>
    </font>
    <font>
      <vertAlign val="superscript"/>
      <sz val="10"/>
      <name val="Open Sans"/>
      <family val="2"/>
    </font>
    <font>
      <b/>
      <vertAlign val="superscript"/>
      <sz val="10"/>
      <name val="Open Sans"/>
      <family val="2"/>
    </font>
    <font>
      <i/>
      <sz val="10"/>
      <color rgb="FF3271D2"/>
      <name val="Open Sans"/>
      <family val="2"/>
    </font>
    <font>
      <sz val="14"/>
      <color rgb="FF000000"/>
      <name val="Open Sans"/>
      <family val="2"/>
    </font>
    <font>
      <b/>
      <vertAlign val="superscript"/>
      <sz val="9"/>
      <name val="Open Sans"/>
      <family val="2"/>
    </font>
    <font>
      <i/>
      <sz val="8"/>
      <color rgb="FF000000"/>
      <name val="Open Sans"/>
      <family val="2"/>
    </font>
    <font>
      <i/>
      <sz val="8"/>
      <name val="Open Sans"/>
      <family val="2"/>
    </font>
    <font>
      <i/>
      <sz val="10"/>
      <color rgb="FFFF0000"/>
      <name val="Open Sans"/>
      <family val="2"/>
    </font>
    <font>
      <sz val="11"/>
      <color rgb="FF3271D2"/>
      <name val="Arial Narrow"/>
      <family val="2"/>
    </font>
    <font>
      <b/>
      <i/>
      <sz val="11"/>
      <color rgb="FFFA621C"/>
      <name val="Open Sans"/>
      <family val="2"/>
    </font>
    <font>
      <b/>
      <sz val="18"/>
      <color theme="0"/>
      <name val="Open Sans"/>
    </font>
    <font>
      <sz val="14"/>
      <color theme="0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6F6F6"/>
        <bgColor rgb="FF000000"/>
      </patternFill>
    </fill>
    <fill>
      <patternFill patternType="solid">
        <fgColor rgb="FF000C3F"/>
        <bgColor rgb="FF000000"/>
      </patternFill>
    </fill>
    <fill>
      <patternFill patternType="solid">
        <fgColor rgb="FF000C3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F"/>
        <bgColor rgb="FF000000"/>
      </patternFill>
    </fill>
  </fills>
  <borders count="42">
    <border>
      <left/>
      <right/>
      <top/>
      <bottom/>
      <diagonal/>
    </border>
    <border>
      <left/>
      <right style="thick">
        <color rgb="FF132E57"/>
      </right>
      <top/>
      <bottom style="thick">
        <color rgb="FF132E57"/>
      </bottom>
      <diagonal/>
    </border>
    <border>
      <left/>
      <right/>
      <top/>
      <bottom style="thick">
        <color rgb="FF132E57"/>
      </bottom>
      <diagonal/>
    </border>
    <border>
      <left style="thick">
        <color rgb="FF132E57"/>
      </left>
      <right/>
      <top/>
      <bottom style="thick">
        <color rgb="FF132E57"/>
      </bottom>
      <diagonal/>
    </border>
    <border>
      <left/>
      <right style="thick">
        <color rgb="FF132E57"/>
      </right>
      <top/>
      <bottom/>
      <diagonal/>
    </border>
    <border>
      <left style="thick">
        <color rgb="FF132E57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C3F"/>
      </left>
      <right/>
      <top/>
      <bottom/>
      <diagonal/>
    </border>
    <border>
      <left/>
      <right style="thick">
        <color rgb="FF132E57"/>
      </right>
      <top style="thick">
        <color rgb="FF132E57"/>
      </top>
      <bottom/>
      <diagonal/>
    </border>
    <border>
      <left/>
      <right/>
      <top style="thick">
        <color rgb="FF132E57"/>
      </top>
      <bottom/>
      <diagonal/>
    </border>
    <border>
      <left/>
      <right/>
      <top style="medium">
        <color rgb="FF000C3F"/>
      </top>
      <bottom/>
      <diagonal/>
    </border>
    <border>
      <left style="medium">
        <color rgb="FF000C3F"/>
      </left>
      <right/>
      <top style="medium">
        <color rgb="FF000C3F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3271D2"/>
      </top>
      <bottom/>
      <diagonal/>
    </border>
    <border>
      <left/>
      <right/>
      <top style="thin">
        <color rgb="FF3271D2"/>
      </top>
      <bottom/>
      <diagonal/>
    </border>
    <border>
      <left/>
      <right/>
      <top/>
      <bottom style="thin">
        <color rgb="FF3271D2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thin">
        <color rgb="FF3271D2"/>
      </top>
      <bottom style="medium">
        <color rgb="FF3271D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3271D2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947131"/>
      </right>
      <top style="thin">
        <color rgb="FF947131"/>
      </top>
      <bottom style="thin">
        <color rgb="FF947131"/>
      </bottom>
      <diagonal/>
    </border>
    <border>
      <left/>
      <right/>
      <top style="thin">
        <color rgb="FF947131"/>
      </top>
      <bottom style="thin">
        <color rgb="FF947131"/>
      </bottom>
      <diagonal/>
    </border>
    <border>
      <left style="thin">
        <color rgb="FF947131"/>
      </left>
      <right/>
      <top style="thin">
        <color rgb="FF947131"/>
      </top>
      <bottom style="thin">
        <color rgb="FF94713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9" fillId="0" borderId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404">
    <xf numFmtId="0" fontId="0" fillId="0" borderId="0" xfId="0"/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3" fillId="2" borderId="0" xfId="2" applyFont="1" applyFill="1"/>
    <xf numFmtId="164" fontId="4" fillId="2" borderId="0" xfId="2" applyNumberFormat="1" applyFont="1" applyFill="1"/>
    <xf numFmtId="0" fontId="2" fillId="0" borderId="5" xfId="2" applyFont="1" applyBorder="1"/>
    <xf numFmtId="0" fontId="5" fillId="2" borderId="0" xfId="2" applyFont="1" applyFill="1"/>
    <xf numFmtId="0" fontId="5" fillId="0" borderId="0" xfId="2" applyFont="1"/>
    <xf numFmtId="0" fontId="7" fillId="0" borderId="0" xfId="3" applyFont="1" applyFill="1" applyBorder="1"/>
    <xf numFmtId="0" fontId="2" fillId="0" borderId="0" xfId="2" applyFont="1" applyAlignment="1">
      <alignment horizontal="center"/>
    </xf>
    <xf numFmtId="0" fontId="2" fillId="3" borderId="6" xfId="2" applyFont="1" applyFill="1" applyBorder="1" applyAlignment="1">
      <alignment horizontal="center"/>
    </xf>
    <xf numFmtId="0" fontId="8" fillId="0" borderId="0" xfId="3" applyFont="1" applyFill="1" applyBorder="1"/>
    <xf numFmtId="0" fontId="8" fillId="0" borderId="0" xfId="2" applyFont="1"/>
    <xf numFmtId="0" fontId="9" fillId="0" borderId="0" xfId="2" applyFont="1"/>
    <xf numFmtId="0" fontId="2" fillId="3" borderId="7" xfId="2" applyFont="1" applyFill="1" applyBorder="1" applyAlignment="1">
      <alignment horizontal="center"/>
    </xf>
    <xf numFmtId="0" fontId="10" fillId="3" borderId="8" xfId="2" applyFont="1" applyFill="1" applyBorder="1" applyAlignment="1">
      <alignment horizontal="center"/>
    </xf>
    <xf numFmtId="164" fontId="11" fillId="0" borderId="0" xfId="3" applyNumberFormat="1" applyFont="1" applyFill="1" applyBorder="1"/>
    <xf numFmtId="0" fontId="12" fillId="0" borderId="0" xfId="3" applyFont="1" applyFill="1" applyBorder="1" applyProtection="1">
      <protection locked="0"/>
    </xf>
    <xf numFmtId="0" fontId="10" fillId="3" borderId="6" xfId="2" applyFont="1" applyFill="1" applyBorder="1" applyAlignment="1">
      <alignment horizontal="center"/>
    </xf>
    <xf numFmtId="0" fontId="13" fillId="0" borderId="0" xfId="3" applyFont="1" applyFill="1" applyBorder="1" applyProtection="1">
      <protection locked="0"/>
    </xf>
    <xf numFmtId="0" fontId="14" fillId="0" borderId="0" xfId="0" applyFont="1" applyAlignment="1">
      <alignment horizontal="left"/>
    </xf>
    <xf numFmtId="0" fontId="10" fillId="3" borderId="9" xfId="2" applyFont="1" applyFill="1" applyBorder="1" applyAlignment="1">
      <alignment horizontal="center"/>
    </xf>
    <xf numFmtId="0" fontId="15" fillId="0" borderId="0" xfId="2" applyFont="1" applyAlignment="1">
      <alignment horizontal="left"/>
    </xf>
    <xf numFmtId="0" fontId="16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165" fontId="18" fillId="0" borderId="0" xfId="3" applyNumberFormat="1" applyFont="1" applyFill="1" applyBorder="1" applyAlignment="1" applyProtection="1">
      <alignment horizontal="center"/>
      <protection locked="0"/>
    </xf>
    <xf numFmtId="164" fontId="18" fillId="0" borderId="0" xfId="3" applyNumberFormat="1" applyFont="1" applyFill="1" applyBorder="1" applyAlignment="1" applyProtection="1">
      <alignment horizontal="left"/>
      <protection locked="0"/>
    </xf>
    <xf numFmtId="0" fontId="19" fillId="0" borderId="0" xfId="2" applyFont="1" applyProtection="1">
      <protection locked="0"/>
    </xf>
    <xf numFmtId="0" fontId="19" fillId="0" borderId="10" xfId="2" applyFont="1" applyBorder="1" applyProtection="1">
      <protection locked="0"/>
    </xf>
    <xf numFmtId="0" fontId="20" fillId="0" borderId="0" xfId="0" applyFont="1" applyAlignment="1">
      <alignment horizontal="left"/>
    </xf>
    <xf numFmtId="0" fontId="7" fillId="0" borderId="0" xfId="0" applyFont="1"/>
    <xf numFmtId="166" fontId="18" fillId="0" borderId="0" xfId="3" applyNumberFormat="1" applyFont="1" applyFill="1" applyBorder="1" applyAlignment="1" applyProtection="1">
      <alignment horizontal="center"/>
      <protection locked="0"/>
    </xf>
    <xf numFmtId="164" fontId="22" fillId="0" borderId="0" xfId="4" applyNumberFormat="1" applyFont="1" applyFill="1" applyBorder="1" applyProtection="1">
      <protection locked="0"/>
    </xf>
    <xf numFmtId="0" fontId="19" fillId="0" borderId="10" xfId="2" applyFont="1" applyBorder="1" applyAlignment="1" applyProtection="1">
      <alignment horizontal="centerContinuous"/>
      <protection locked="0"/>
    </xf>
    <xf numFmtId="0" fontId="2" fillId="0" borderId="10" xfId="2" applyFont="1" applyBorder="1" applyAlignment="1">
      <alignment horizontal="centerContinuous"/>
    </xf>
    <xf numFmtId="0" fontId="5" fillId="0" borderId="10" xfId="2" applyFont="1" applyBorder="1" applyAlignment="1">
      <alignment horizontal="centerContinuous"/>
    </xf>
    <xf numFmtId="0" fontId="19" fillId="0" borderId="10" xfId="2" applyFont="1" applyBorder="1" applyAlignment="1" applyProtection="1">
      <alignment horizontal="left"/>
      <protection locked="0"/>
    </xf>
    <xf numFmtId="0" fontId="5" fillId="0" borderId="0" xfId="2" applyFont="1" applyAlignment="1">
      <alignment horizontal="centerContinuous"/>
    </xf>
    <xf numFmtId="0" fontId="19" fillId="0" borderId="11" xfId="2" applyFont="1" applyBorder="1" applyProtection="1">
      <protection locked="0"/>
    </xf>
    <xf numFmtId="0" fontId="23" fillId="0" borderId="0" xfId="2" applyFont="1"/>
    <xf numFmtId="0" fontId="2" fillId="0" borderId="0" xfId="2" applyFont="1" applyProtection="1">
      <protection locked="0"/>
    </xf>
    <xf numFmtId="0" fontId="24" fillId="0" borderId="0" xfId="0" applyFont="1" applyAlignment="1">
      <alignment horizontal="left"/>
    </xf>
    <xf numFmtId="0" fontId="19" fillId="0" borderId="0" xfId="2" applyFont="1" applyAlignment="1">
      <alignment horizontal="right"/>
    </xf>
    <xf numFmtId="0" fontId="25" fillId="0" borderId="0" xfId="2" applyFont="1" applyProtection="1">
      <protection locked="0"/>
    </xf>
    <xf numFmtId="0" fontId="2" fillId="4" borderId="4" xfId="2" applyFont="1" applyFill="1" applyBorder="1"/>
    <xf numFmtId="0" fontId="2" fillId="4" borderId="0" xfId="2" applyFont="1" applyFill="1"/>
    <xf numFmtId="0" fontId="17" fillId="5" borderId="0" xfId="0" applyFont="1" applyFill="1"/>
    <xf numFmtId="0" fontId="17" fillId="5" borderId="12" xfId="0" applyFont="1" applyFill="1" applyBorder="1"/>
    <xf numFmtId="0" fontId="26" fillId="4" borderId="0" xfId="2" applyFont="1" applyFill="1"/>
    <xf numFmtId="0" fontId="2" fillId="4" borderId="13" xfId="2" applyFont="1" applyFill="1" applyBorder="1"/>
    <xf numFmtId="0" fontId="2" fillId="4" borderId="14" xfId="2" applyFont="1" applyFill="1" applyBorder="1"/>
    <xf numFmtId="0" fontId="17" fillId="5" borderId="15" xfId="0" applyFont="1" applyFill="1" applyBorder="1"/>
    <xf numFmtId="0" fontId="17" fillId="5" borderId="16" xfId="0" applyFont="1" applyFill="1" applyBorder="1"/>
    <xf numFmtId="0" fontId="26" fillId="6" borderId="0" xfId="2" applyFont="1" applyFill="1"/>
    <xf numFmtId="0" fontId="2" fillId="0" borderId="0" xfId="0" applyFont="1"/>
    <xf numFmtId="0" fontId="2" fillId="0" borderId="17" xfId="0" applyFont="1" applyBorder="1"/>
    <xf numFmtId="0" fontId="27" fillId="0" borderId="0" xfId="0" applyFont="1"/>
    <xf numFmtId="0" fontId="17" fillId="0" borderId="0" xfId="0" applyFont="1"/>
    <xf numFmtId="0" fontId="15" fillId="0" borderId="0" xfId="0" applyFont="1"/>
    <xf numFmtId="0" fontId="28" fillId="0" borderId="0" xfId="0" applyFont="1"/>
    <xf numFmtId="0" fontId="2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7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left"/>
    </xf>
    <xf numFmtId="167" fontId="30" fillId="0" borderId="0" xfId="5" applyNumberFormat="1" applyFont="1" applyAlignment="1" applyProtection="1">
      <alignment horizontal="center" vertical="center"/>
      <protection hidden="1"/>
    </xf>
    <xf numFmtId="0" fontId="5" fillId="0" borderId="0" xfId="0" applyFont="1"/>
    <xf numFmtId="168" fontId="31" fillId="0" borderId="0" xfId="0" applyNumberFormat="1" applyFont="1" applyAlignment="1">
      <alignment horizontal="right"/>
    </xf>
    <xf numFmtId="0" fontId="15" fillId="0" borderId="0" xfId="0" applyFont="1" applyAlignment="1">
      <alignment horizontal="left" indent="1"/>
    </xf>
    <xf numFmtId="168" fontId="31" fillId="0" borderId="17" xfId="0" applyNumberFormat="1" applyFont="1" applyBorder="1" applyAlignment="1">
      <alignment horizontal="right"/>
    </xf>
    <xf numFmtId="0" fontId="10" fillId="0" borderId="0" xfId="0" applyFont="1"/>
    <xf numFmtId="169" fontId="32" fillId="0" borderId="0" xfId="1" applyNumberFormat="1" applyFont="1" applyFill="1" applyAlignment="1">
      <alignment horizontal="right"/>
    </xf>
    <xf numFmtId="0" fontId="32" fillId="0" borderId="0" xfId="0" applyFont="1" applyAlignment="1">
      <alignment horizontal="left" indent="2"/>
    </xf>
    <xf numFmtId="170" fontId="32" fillId="0" borderId="0" xfId="1" applyNumberFormat="1" applyFont="1" applyFill="1"/>
    <xf numFmtId="169" fontId="32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  <xf numFmtId="171" fontId="33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indent="1"/>
    </xf>
    <xf numFmtId="0" fontId="7" fillId="0" borderId="18" xfId="0" applyFont="1" applyBorder="1"/>
    <xf numFmtId="171" fontId="33" fillId="0" borderId="18" xfId="0" applyNumberFormat="1" applyFont="1" applyBorder="1" applyAlignment="1">
      <alignment horizontal="right" vertical="center"/>
    </xf>
    <xf numFmtId="0" fontId="34" fillId="0" borderId="18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35" fillId="0" borderId="0" xfId="0" applyFont="1" applyAlignment="1">
      <alignment horizontal="left"/>
    </xf>
    <xf numFmtId="172" fontId="10" fillId="0" borderId="19" xfId="0" applyNumberFormat="1" applyFont="1" applyBorder="1" applyAlignment="1">
      <alignment horizontal="right" vertical="center"/>
    </xf>
    <xf numFmtId="173" fontId="10" fillId="0" borderId="0" xfId="0" applyNumberFormat="1" applyFont="1" applyAlignment="1">
      <alignment horizontal="right" vertical="center"/>
    </xf>
    <xf numFmtId="174" fontId="36" fillId="0" borderId="0" xfId="0" applyNumberFormat="1" applyFont="1" applyAlignment="1">
      <alignment horizontal="right"/>
    </xf>
    <xf numFmtId="174" fontId="10" fillId="0" borderId="0" xfId="0" applyNumberFormat="1" applyFont="1" applyAlignment="1">
      <alignment horizontal="right"/>
    </xf>
    <xf numFmtId="37" fontId="37" fillId="0" borderId="0" xfId="0" applyNumberFormat="1" applyFont="1" applyAlignment="1">
      <alignment vertical="center"/>
    </xf>
    <xf numFmtId="164" fontId="38" fillId="0" borderId="0" xfId="0" applyNumberFormat="1" applyFont="1" applyAlignment="1">
      <alignment vertical="center"/>
    </xf>
    <xf numFmtId="174" fontId="37" fillId="7" borderId="0" xfId="0" applyNumberFormat="1" applyFont="1" applyFill="1" applyAlignment="1">
      <alignment horizontal="right"/>
    </xf>
    <xf numFmtId="37" fontId="3" fillId="7" borderId="0" xfId="0" applyNumberFormat="1" applyFont="1" applyFill="1" applyAlignment="1">
      <alignment vertical="center"/>
    </xf>
    <xf numFmtId="37" fontId="37" fillId="7" borderId="0" xfId="0" applyNumberFormat="1" applyFont="1" applyFill="1" applyAlignment="1">
      <alignment vertical="center"/>
    </xf>
    <xf numFmtId="37" fontId="39" fillId="7" borderId="0" xfId="0" applyNumberFormat="1" applyFont="1" applyFill="1" applyAlignment="1">
      <alignment vertical="center"/>
    </xf>
    <xf numFmtId="0" fontId="17" fillId="4" borderId="0" xfId="0" applyFont="1" applyFill="1"/>
    <xf numFmtId="0" fontId="7" fillId="0" borderId="17" xfId="0" applyFont="1" applyBorder="1"/>
    <xf numFmtId="170" fontId="40" fillId="0" borderId="17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70" fontId="40" fillId="0" borderId="0" xfId="0" applyNumberFormat="1" applyFont="1" applyAlignment="1">
      <alignment vertical="center"/>
    </xf>
    <xf numFmtId="174" fontId="41" fillId="0" borderId="0" xfId="0" applyNumberFormat="1" applyFont="1" applyAlignment="1">
      <alignment horizontal="right" vertical="center"/>
    </xf>
    <xf numFmtId="175" fontId="40" fillId="0" borderId="0" xfId="6" applyNumberFormat="1" applyFont="1" applyFill="1" applyBorder="1" applyAlignment="1">
      <alignment vertical="center"/>
    </xf>
    <xf numFmtId="0" fontId="4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169" fontId="40" fillId="0" borderId="0" xfId="1" applyNumberFormat="1" applyFont="1" applyFill="1" applyBorder="1" applyAlignment="1">
      <alignment vertical="center"/>
    </xf>
    <xf numFmtId="176" fontId="40" fillId="0" borderId="19" xfId="1" applyNumberFormat="1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left" vertical="center" indent="1"/>
    </xf>
    <xf numFmtId="169" fontId="40" fillId="0" borderId="19" xfId="1" applyNumberFormat="1" applyFont="1" applyFill="1" applyBorder="1" applyAlignment="1">
      <alignment vertical="center"/>
    </xf>
    <xf numFmtId="177" fontId="2" fillId="0" borderId="0" xfId="7" applyNumberFormat="1" applyFont="1" applyProtection="1">
      <protection locked="0"/>
    </xf>
    <xf numFmtId="0" fontId="44" fillId="0" borderId="0" xfId="0" applyFont="1" applyAlignment="1">
      <alignment horizontal="left"/>
    </xf>
    <xf numFmtId="0" fontId="45" fillId="0" borderId="0" xfId="0" applyFont="1"/>
    <xf numFmtId="176" fontId="40" fillId="0" borderId="0" xfId="1" applyNumberFormat="1" applyFont="1" applyFill="1" applyBorder="1" applyAlignment="1">
      <alignment vertical="center"/>
    </xf>
    <xf numFmtId="168" fontId="40" fillId="0" borderId="0" xfId="6" applyNumberFormat="1" applyFont="1" applyFill="1" applyBorder="1" applyAlignment="1">
      <alignment vertical="center"/>
    </xf>
    <xf numFmtId="168" fontId="40" fillId="0" borderId="0" xfId="6" applyNumberFormat="1" applyFont="1"/>
    <xf numFmtId="0" fontId="42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indent="1"/>
    </xf>
    <xf numFmtId="0" fontId="2" fillId="0" borderId="20" xfId="0" applyFont="1" applyBorder="1"/>
    <xf numFmtId="0" fontId="44" fillId="0" borderId="20" xfId="0" applyFont="1" applyBorder="1"/>
    <xf numFmtId="177" fontId="34" fillId="0" borderId="0" xfId="7" applyNumberFormat="1" applyFont="1" applyBorder="1" applyAlignment="1">
      <alignment horizontal="right"/>
    </xf>
    <xf numFmtId="169" fontId="40" fillId="0" borderId="0" xfId="1" applyNumberFormat="1" applyFont="1" applyFill="1" applyBorder="1" applyAlignment="1">
      <alignment horizontal="right" vertical="center"/>
    </xf>
    <xf numFmtId="177" fontId="46" fillId="0" borderId="0" xfId="7" applyNumberFormat="1" applyFont="1" applyFill="1" applyBorder="1" applyAlignment="1" applyProtection="1">
      <alignment vertical="center"/>
      <protection locked="0"/>
    </xf>
    <xf numFmtId="0" fontId="47" fillId="0" borderId="0" xfId="0" applyFont="1" applyAlignment="1">
      <alignment vertical="center"/>
    </xf>
    <xf numFmtId="177" fontId="48" fillId="0" borderId="0" xfId="7" applyNumberFormat="1" applyFont="1" applyFill="1" applyBorder="1" applyAlignment="1">
      <alignment horizontal="right" vertical="center"/>
    </xf>
    <xf numFmtId="0" fontId="31" fillId="0" borderId="0" xfId="0" applyFont="1" applyAlignment="1">
      <alignment horizontal="left" indent="1"/>
    </xf>
    <xf numFmtId="168" fontId="40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7" fontId="34" fillId="0" borderId="0" xfId="7" applyNumberFormat="1" applyFont="1" applyAlignment="1" applyProtection="1">
      <alignment vertical="center"/>
      <protection locked="0"/>
    </xf>
    <xf numFmtId="178" fontId="40" fillId="0" borderId="19" xfId="0" applyNumberFormat="1" applyFont="1" applyBorder="1" applyAlignment="1">
      <alignment horizontal="right" vertical="center"/>
    </xf>
    <xf numFmtId="0" fontId="42" fillId="0" borderId="19" xfId="0" quotePrefix="1" applyFont="1" applyBorder="1" applyAlignment="1">
      <alignment horizontal="center" vertical="center"/>
    </xf>
    <xf numFmtId="37" fontId="39" fillId="0" borderId="0" xfId="0" applyNumberFormat="1" applyFont="1" applyAlignment="1">
      <alignment vertical="center"/>
    </xf>
    <xf numFmtId="168" fontId="40" fillId="0" borderId="21" xfId="0" applyNumberFormat="1" applyFont="1" applyBorder="1" applyAlignment="1">
      <alignment horizontal="right" vertical="center"/>
    </xf>
    <xf numFmtId="168" fontId="40" fillId="0" borderId="17" xfId="0" applyNumberFormat="1" applyFont="1" applyBorder="1" applyAlignment="1">
      <alignment horizontal="right" vertical="center"/>
    </xf>
    <xf numFmtId="168" fontId="40" fillId="0" borderId="22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31" fillId="0" borderId="0" xfId="0" applyFont="1" applyAlignment="1">
      <alignment horizontal="left" indent="2"/>
    </xf>
    <xf numFmtId="168" fontId="40" fillId="0" borderId="23" xfId="0" applyNumberFormat="1" applyFont="1" applyBorder="1" applyAlignment="1">
      <alignment horizontal="right" vertical="center"/>
    </xf>
    <xf numFmtId="168" fontId="40" fillId="0" borderId="0" xfId="0" applyNumberFormat="1" applyFont="1" applyAlignment="1">
      <alignment horizontal="right" vertical="center"/>
    </xf>
    <xf numFmtId="168" fontId="40" fillId="0" borderId="24" xfId="0" applyNumberFormat="1" applyFont="1" applyBorder="1" applyAlignment="1">
      <alignment horizontal="right" vertical="center"/>
    </xf>
    <xf numFmtId="169" fontId="40" fillId="0" borderId="25" xfId="0" applyNumberFormat="1" applyFont="1" applyBorder="1" applyAlignment="1">
      <alignment horizontal="right" vertical="center"/>
    </xf>
    <xf numFmtId="169" fontId="40" fillId="0" borderId="26" xfId="0" applyNumberFormat="1" applyFont="1" applyBorder="1" applyAlignment="1">
      <alignment horizontal="right" vertical="center"/>
    </xf>
    <xf numFmtId="169" fontId="40" fillId="0" borderId="27" xfId="0" applyNumberFormat="1" applyFont="1" applyBorder="1" applyAlignment="1">
      <alignment horizontal="right" vertical="center"/>
    </xf>
    <xf numFmtId="0" fontId="35" fillId="0" borderId="0" xfId="0" applyFont="1" applyAlignment="1">
      <alignment horizontal="left" indent="1"/>
    </xf>
    <xf numFmtId="168" fontId="40" fillId="0" borderId="25" xfId="0" applyNumberFormat="1" applyFont="1" applyBorder="1" applyAlignment="1">
      <alignment horizontal="right" vertical="center"/>
    </xf>
    <xf numFmtId="168" fontId="40" fillId="0" borderId="26" xfId="0" applyNumberFormat="1" applyFont="1" applyBorder="1" applyAlignment="1">
      <alignment horizontal="right" vertical="center"/>
    </xf>
    <xf numFmtId="168" fontId="40" fillId="0" borderId="27" xfId="0" applyNumberFormat="1" applyFont="1" applyBorder="1" applyAlignment="1">
      <alignment horizontal="right" vertical="center"/>
    </xf>
    <xf numFmtId="172" fontId="10" fillId="0" borderId="28" xfId="0" applyNumberFormat="1" applyFont="1" applyBorder="1" applyAlignment="1">
      <alignment horizontal="right" vertical="center"/>
    </xf>
    <xf numFmtId="177" fontId="49" fillId="0" borderId="0" xfId="7" applyNumberFormat="1" applyFont="1" applyAlignment="1">
      <alignment horizontal="right"/>
    </xf>
    <xf numFmtId="177" fontId="49" fillId="0" borderId="0" xfId="7" applyNumberFormat="1" applyFont="1" applyAlignment="1" applyProtection="1">
      <alignment horizontal="center"/>
      <protection locked="0"/>
    </xf>
    <xf numFmtId="177" fontId="49" fillId="0" borderId="0" xfId="7" applyNumberFormat="1" applyFont="1" applyProtection="1">
      <protection locked="0"/>
    </xf>
    <xf numFmtId="169" fontId="40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2"/>
    </xf>
    <xf numFmtId="168" fontId="7" fillId="0" borderId="0" xfId="0" applyNumberFormat="1" applyFont="1" applyAlignment="1">
      <alignment horizontal="right"/>
    </xf>
    <xf numFmtId="168" fontId="33" fillId="0" borderId="0" xfId="0" applyNumberFormat="1" applyFont="1" applyAlignment="1">
      <alignment horizontal="right" vertical="center"/>
    </xf>
    <xf numFmtId="168" fontId="32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8" fontId="35" fillId="0" borderId="29" xfId="1" applyNumberFormat="1" applyFont="1" applyFill="1" applyBorder="1" applyAlignment="1">
      <alignment horizontal="right" vertical="center"/>
    </xf>
    <xf numFmtId="168" fontId="35" fillId="0" borderId="30" xfId="1" applyNumberFormat="1" applyFont="1" applyFill="1" applyBorder="1" applyAlignment="1">
      <alignment horizontal="right" vertical="center"/>
    </xf>
    <xf numFmtId="168" fontId="35" fillId="0" borderId="31" xfId="1" applyNumberFormat="1" applyFont="1" applyFill="1" applyBorder="1" applyAlignment="1">
      <alignment horizontal="right" vertical="center"/>
    </xf>
    <xf numFmtId="169" fontId="40" fillId="0" borderId="21" xfId="0" applyNumberFormat="1" applyFont="1" applyBorder="1" applyAlignment="1">
      <alignment vertical="center"/>
    </xf>
    <xf numFmtId="169" fontId="40" fillId="0" borderId="17" xfId="0" applyNumberFormat="1" applyFont="1" applyBorder="1" applyAlignment="1">
      <alignment vertical="center"/>
    </xf>
    <xf numFmtId="169" fontId="40" fillId="0" borderId="22" xfId="0" applyNumberFormat="1" applyFont="1" applyBorder="1" applyAlignment="1">
      <alignment vertical="center"/>
    </xf>
    <xf numFmtId="0" fontId="50" fillId="0" borderId="0" xfId="0" applyFont="1" applyAlignment="1">
      <alignment horizontal="left"/>
    </xf>
    <xf numFmtId="169" fontId="40" fillId="0" borderId="23" xfId="0" applyNumberFormat="1" applyFont="1" applyBorder="1" applyAlignment="1">
      <alignment vertical="center"/>
    </xf>
    <xf numFmtId="169" fontId="40" fillId="0" borderId="0" xfId="0" applyNumberFormat="1" applyFont="1" applyAlignment="1">
      <alignment vertical="center"/>
    </xf>
    <xf numFmtId="169" fontId="40" fillId="0" borderId="24" xfId="0" applyNumberFormat="1" applyFont="1" applyBorder="1" applyAlignment="1">
      <alignment vertical="center"/>
    </xf>
    <xf numFmtId="169" fontId="40" fillId="0" borderId="25" xfId="0" applyNumberFormat="1" applyFont="1" applyBorder="1" applyAlignment="1">
      <alignment vertical="center"/>
    </xf>
    <xf numFmtId="169" fontId="40" fillId="0" borderId="26" xfId="0" applyNumberFormat="1" applyFont="1" applyBorder="1" applyAlignment="1">
      <alignment vertical="center"/>
    </xf>
    <xf numFmtId="169" fontId="40" fillId="0" borderId="27" xfId="0" applyNumberFormat="1" applyFont="1" applyBorder="1" applyAlignment="1">
      <alignment vertical="center"/>
    </xf>
    <xf numFmtId="169" fontId="7" fillId="0" borderId="0" xfId="0" applyNumberFormat="1" applyFont="1"/>
    <xf numFmtId="169" fontId="33" fillId="0" borderId="0" xfId="0" applyNumberFormat="1" applyFont="1" applyAlignment="1">
      <alignment horizontal="right" vertical="center"/>
    </xf>
    <xf numFmtId="169" fontId="32" fillId="0" borderId="0" xfId="0" applyNumberFormat="1" applyFont="1" applyAlignment="1">
      <alignment horizontal="right" vertical="center"/>
    </xf>
    <xf numFmtId="169" fontId="5" fillId="0" borderId="0" xfId="0" applyNumberFormat="1" applyFont="1" applyAlignment="1">
      <alignment vertical="center"/>
    </xf>
    <xf numFmtId="169" fontId="35" fillId="0" borderId="29" xfId="1" applyNumberFormat="1" applyFont="1" applyFill="1" applyBorder="1" applyAlignment="1">
      <alignment vertical="center"/>
    </xf>
    <xf numFmtId="169" fontId="35" fillId="0" borderId="30" xfId="1" applyNumberFormat="1" applyFont="1" applyFill="1" applyBorder="1" applyAlignment="1">
      <alignment vertical="center"/>
    </xf>
    <xf numFmtId="169" fontId="35" fillId="0" borderId="31" xfId="1" applyNumberFormat="1" applyFont="1" applyFill="1" applyBorder="1" applyAlignment="1">
      <alignment vertical="center"/>
    </xf>
    <xf numFmtId="170" fontId="7" fillId="0" borderId="0" xfId="0" applyNumberFormat="1" applyFont="1"/>
    <xf numFmtId="170" fontId="33" fillId="0" borderId="0" xfId="0" applyNumberFormat="1" applyFont="1" applyAlignment="1">
      <alignment horizontal="right" vertical="center"/>
    </xf>
    <xf numFmtId="170" fontId="32" fillId="0" borderId="0" xfId="0" applyNumberFormat="1" applyFont="1" applyAlignment="1">
      <alignment horizontal="right" vertical="center"/>
    </xf>
    <xf numFmtId="170" fontId="5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 indent="2"/>
    </xf>
    <xf numFmtId="0" fontId="15" fillId="0" borderId="0" xfId="0" applyFont="1" applyAlignment="1">
      <alignment vertical="center"/>
    </xf>
    <xf numFmtId="170" fontId="34" fillId="0" borderId="0" xfId="0" applyNumberFormat="1" applyFont="1" applyAlignment="1">
      <alignment horizontal="right" vertical="center"/>
    </xf>
    <xf numFmtId="0" fontId="31" fillId="0" borderId="0" xfId="0" applyFont="1" applyAlignment="1">
      <alignment vertical="center"/>
    </xf>
    <xf numFmtId="0" fontId="16" fillId="0" borderId="0" xfId="0" applyFont="1"/>
    <xf numFmtId="0" fontId="40" fillId="0" borderId="0" xfId="0" applyFont="1" applyAlignment="1">
      <alignment horizontal="center" vertical="center"/>
    </xf>
    <xf numFmtId="174" fontId="37" fillId="0" borderId="0" xfId="0" applyNumberFormat="1" applyFont="1" applyAlignment="1">
      <alignment horizontal="right"/>
    </xf>
    <xf numFmtId="37" fontId="3" fillId="0" borderId="0" xfId="0" applyNumberFormat="1" applyFont="1" applyAlignment="1">
      <alignment vertical="center"/>
    </xf>
    <xf numFmtId="37" fontId="51" fillId="0" borderId="0" xfId="0" applyNumberFormat="1" applyFont="1" applyAlignment="1">
      <alignment vertical="center"/>
    </xf>
    <xf numFmtId="0" fontId="52" fillId="0" borderId="0" xfId="0" applyFont="1" applyAlignment="1">
      <alignment horizontal="left"/>
    </xf>
    <xf numFmtId="37" fontId="53" fillId="0" borderId="0" xfId="0" applyNumberFormat="1" applyFont="1" applyAlignment="1">
      <alignment vertical="center"/>
    </xf>
    <xf numFmtId="179" fontId="15" fillId="0" borderId="0" xfId="0" applyNumberFormat="1" applyFont="1"/>
    <xf numFmtId="172" fontId="10" fillId="0" borderId="17" xfId="0" applyNumberFormat="1" applyFont="1" applyBorder="1" applyAlignment="1">
      <alignment horizontal="right"/>
    </xf>
    <xf numFmtId="174" fontId="10" fillId="0" borderId="17" xfId="0" applyNumberFormat="1" applyFont="1" applyBorder="1" applyAlignment="1">
      <alignment horizontal="right"/>
    </xf>
    <xf numFmtId="37" fontId="37" fillId="0" borderId="17" xfId="0" applyNumberFormat="1" applyFont="1" applyBorder="1" applyAlignment="1">
      <alignment vertical="center"/>
    </xf>
    <xf numFmtId="164" fontId="38" fillId="0" borderId="17" xfId="0" applyNumberFormat="1" applyFont="1" applyBorder="1" applyAlignment="1">
      <alignment vertical="center"/>
    </xf>
    <xf numFmtId="168" fontId="31" fillId="0" borderId="0" xfId="0" applyNumberFormat="1" applyFont="1"/>
    <xf numFmtId="168" fontId="31" fillId="0" borderId="17" xfId="0" applyNumberFormat="1" applyFont="1" applyBorder="1"/>
    <xf numFmtId="168" fontId="10" fillId="0" borderId="17" xfId="0" applyNumberFormat="1" applyFont="1" applyBorder="1" applyAlignment="1">
      <alignment horizontal="right"/>
    </xf>
    <xf numFmtId="172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5" fillId="0" borderId="17" xfId="0" applyFont="1" applyBorder="1" applyAlignment="1">
      <alignment horizontal="left" indent="1"/>
    </xf>
    <xf numFmtId="169" fontId="31" fillId="0" borderId="17" xfId="0" applyNumberFormat="1" applyFont="1" applyBorder="1" applyAlignment="1">
      <alignment horizontal="right"/>
    </xf>
    <xf numFmtId="179" fontId="54" fillId="0" borderId="0" xfId="0" applyNumberFormat="1" applyFont="1"/>
    <xf numFmtId="174" fontId="10" fillId="0" borderId="32" xfId="0" applyNumberFormat="1" applyFont="1" applyBorder="1" applyAlignment="1">
      <alignment horizontal="right" vertical="center"/>
    </xf>
    <xf numFmtId="168" fontId="52" fillId="0" borderId="0" xfId="0" applyNumberFormat="1" applyFont="1"/>
    <xf numFmtId="180" fontId="10" fillId="7" borderId="0" xfId="0" applyNumberFormat="1" applyFont="1" applyFill="1" applyAlignment="1">
      <alignment horizontal="centerContinuous"/>
    </xf>
    <xf numFmtId="180" fontId="38" fillId="7" borderId="0" xfId="0" applyNumberFormat="1" applyFont="1" applyFill="1" applyAlignment="1">
      <alignment horizontal="centerContinuous"/>
    </xf>
    <xf numFmtId="37" fontId="5" fillId="7" borderId="0" xfId="0" applyNumberFormat="1" applyFont="1" applyFill="1" applyAlignment="1">
      <alignment vertical="center"/>
    </xf>
    <xf numFmtId="168" fontId="31" fillId="0" borderId="33" xfId="0" applyNumberFormat="1" applyFont="1" applyBorder="1" applyAlignment="1">
      <alignment horizontal="right" vertical="center"/>
    </xf>
    <xf numFmtId="181" fontId="5" fillId="0" borderId="34" xfId="0" applyNumberFormat="1" applyFont="1" applyBorder="1" applyAlignment="1">
      <alignment horizontal="center"/>
    </xf>
    <xf numFmtId="168" fontId="10" fillId="0" borderId="0" xfId="0" applyNumberFormat="1" applyFont="1" applyAlignment="1">
      <alignment horizontal="right"/>
    </xf>
    <xf numFmtId="0" fontId="10" fillId="0" borderId="0" xfId="2" applyFont="1" applyAlignment="1">
      <alignment horizontal="center"/>
    </xf>
    <xf numFmtId="182" fontId="15" fillId="0" borderId="0" xfId="0" quotePrefix="1" applyNumberFormat="1" applyFont="1" applyAlignment="1">
      <alignment horizontal="right"/>
    </xf>
    <xf numFmtId="182" fontId="55" fillId="0" borderId="0" xfId="0" quotePrefix="1" applyNumberFormat="1" applyFont="1" applyAlignment="1">
      <alignment horizontal="right"/>
    </xf>
    <xf numFmtId="183" fontId="55" fillId="0" borderId="0" xfId="0" quotePrefix="1" applyNumberFormat="1" applyFont="1" applyAlignment="1">
      <alignment horizontal="right"/>
    </xf>
    <xf numFmtId="0" fontId="47" fillId="0" borderId="0" xfId="0" applyFont="1"/>
    <xf numFmtId="169" fontId="31" fillId="0" borderId="0" xfId="1" applyNumberFormat="1" applyFont="1" applyFill="1" applyBorder="1" applyAlignment="1">
      <alignment horizontal="right"/>
    </xf>
    <xf numFmtId="169" fontId="15" fillId="0" borderId="0" xfId="1" applyNumberFormat="1" applyFont="1" applyFill="1" applyBorder="1" applyAlignment="1">
      <alignment horizontal="right"/>
    </xf>
    <xf numFmtId="168" fontId="31" fillId="0" borderId="35" xfId="0" applyNumberFormat="1" applyFont="1" applyBorder="1" applyAlignment="1">
      <alignment horizontal="right" vertical="center"/>
    </xf>
    <xf numFmtId="184" fontId="31" fillId="0" borderId="0" xfId="0" applyNumberFormat="1" applyFont="1"/>
    <xf numFmtId="168" fontId="35" fillId="0" borderId="17" xfId="0" applyNumberFormat="1" applyFont="1" applyBorder="1" applyAlignment="1">
      <alignment horizontal="right"/>
    </xf>
    <xf numFmtId="174" fontId="35" fillId="0" borderId="17" xfId="0" applyNumberFormat="1" applyFont="1" applyBorder="1" applyAlignment="1">
      <alignment horizontal="right"/>
    </xf>
    <xf numFmtId="37" fontId="56" fillId="0" borderId="17" xfId="0" applyNumberFormat="1" applyFont="1" applyBorder="1" applyAlignment="1">
      <alignment vertical="center"/>
    </xf>
    <xf numFmtId="164" fontId="57" fillId="0" borderId="17" xfId="0" applyNumberFormat="1" applyFont="1" applyBorder="1" applyAlignment="1">
      <alignment vertical="center"/>
    </xf>
    <xf numFmtId="168" fontId="15" fillId="0" borderId="0" xfId="0" applyNumberFormat="1" applyFont="1"/>
    <xf numFmtId="49" fontId="15" fillId="0" borderId="0" xfId="0" applyNumberFormat="1" applyFont="1" applyAlignment="1">
      <alignment horizontal="left" indent="1"/>
    </xf>
    <xf numFmtId="49" fontId="10" fillId="0" borderId="0" xfId="0" applyNumberFormat="1" applyFont="1" applyAlignment="1">
      <alignment horizontal="left"/>
    </xf>
    <xf numFmtId="170" fontId="60" fillId="0" borderId="0" xfId="1" applyNumberFormat="1" applyFont="1" applyBorder="1"/>
    <xf numFmtId="168" fontId="50" fillId="0" borderId="0" xfId="0" applyNumberFormat="1" applyFont="1"/>
    <xf numFmtId="165" fontId="31" fillId="0" borderId="21" xfId="0" applyNumberFormat="1" applyFont="1" applyBorder="1" applyAlignment="1">
      <alignment horizontal="right"/>
    </xf>
    <xf numFmtId="49" fontId="31" fillId="0" borderId="22" xfId="0" applyNumberFormat="1" applyFont="1" applyBorder="1" applyAlignment="1">
      <alignment horizontal="left"/>
    </xf>
    <xf numFmtId="9" fontId="31" fillId="0" borderId="25" xfId="1" applyFont="1" applyFill="1" applyBorder="1" applyAlignment="1"/>
    <xf numFmtId="37" fontId="56" fillId="0" borderId="26" xfId="0" applyNumberFormat="1" applyFont="1" applyBorder="1" applyAlignment="1">
      <alignment vertical="center"/>
    </xf>
    <xf numFmtId="0" fontId="31" fillId="0" borderId="27" xfId="0" applyFont="1" applyBorder="1" applyAlignment="1">
      <alignment horizontal="left"/>
    </xf>
    <xf numFmtId="185" fontId="31" fillId="0" borderId="21" xfId="0" applyNumberFormat="1" applyFont="1" applyBorder="1"/>
    <xf numFmtId="185" fontId="31" fillId="0" borderId="17" xfId="0" applyNumberFormat="1" applyFont="1" applyBorder="1"/>
    <xf numFmtId="185" fontId="31" fillId="0" borderId="22" xfId="0" applyNumberFormat="1" applyFont="1" applyBorder="1"/>
    <xf numFmtId="168" fontId="31" fillId="0" borderId="25" xfId="0" applyNumberFormat="1" applyFont="1" applyBorder="1"/>
    <xf numFmtId="168" fontId="31" fillId="0" borderId="26" xfId="0" applyNumberFormat="1" applyFont="1" applyBorder="1"/>
    <xf numFmtId="168" fontId="31" fillId="0" borderId="27" xfId="0" applyNumberFormat="1" applyFont="1" applyBorder="1"/>
    <xf numFmtId="183" fontId="15" fillId="0" borderId="0" xfId="0" quotePrefix="1" applyNumberFormat="1" applyFont="1" applyAlignment="1">
      <alignment horizontal="right"/>
    </xf>
    <xf numFmtId="184" fontId="40" fillId="0" borderId="0" xfId="0" applyNumberFormat="1" applyFont="1"/>
    <xf numFmtId="37" fontId="53" fillId="0" borderId="17" xfId="0" applyNumberFormat="1" applyFont="1" applyBorder="1" applyAlignment="1">
      <alignment vertical="center"/>
    </xf>
    <xf numFmtId="0" fontId="45" fillId="0" borderId="0" xfId="0" applyFont="1" applyAlignment="1">
      <alignment horizontal="left" indent="1"/>
    </xf>
    <xf numFmtId="186" fontId="31" fillId="0" borderId="0" xfId="0" applyNumberFormat="1" applyFont="1"/>
    <xf numFmtId="168" fontId="31" fillId="0" borderId="0" xfId="1" applyNumberFormat="1" applyFont="1"/>
    <xf numFmtId="187" fontId="31" fillId="0" borderId="0" xfId="0" applyNumberFormat="1" applyFont="1" applyAlignment="1">
      <alignment horizontal="left"/>
    </xf>
    <xf numFmtId="169" fontId="40" fillId="0" borderId="0" xfId="0" applyNumberFormat="1" applyFont="1" applyAlignment="1">
      <alignment horizontal="right"/>
    </xf>
    <xf numFmtId="37" fontId="61" fillId="0" borderId="0" xfId="0" applyNumberFormat="1" applyFont="1" applyAlignment="1">
      <alignment vertical="center"/>
    </xf>
    <xf numFmtId="0" fontId="31" fillId="0" borderId="0" xfId="0" applyFont="1" applyAlignment="1">
      <alignment horizontal="left"/>
    </xf>
    <xf numFmtId="169" fontId="15" fillId="0" borderId="21" xfId="1" applyNumberFormat="1" applyFont="1" applyFill="1" applyBorder="1"/>
    <xf numFmtId="37" fontId="61" fillId="0" borderId="17" xfId="0" applyNumberFormat="1" applyFont="1" applyBorder="1" applyAlignment="1">
      <alignment vertical="center"/>
    </xf>
    <xf numFmtId="0" fontId="15" fillId="0" borderId="22" xfId="0" applyFont="1" applyBorder="1" applyAlignment="1">
      <alignment horizontal="left"/>
    </xf>
    <xf numFmtId="176" fontId="15" fillId="0" borderId="25" xfId="0" applyNumberFormat="1" applyFont="1" applyBorder="1" applyAlignment="1">
      <alignment horizontal="right"/>
    </xf>
    <xf numFmtId="37" fontId="61" fillId="0" borderId="26" xfId="0" applyNumberFormat="1" applyFont="1" applyBorder="1" applyAlignment="1">
      <alignment vertical="center"/>
    </xf>
    <xf numFmtId="0" fontId="20" fillId="0" borderId="0" xfId="0" applyFont="1"/>
    <xf numFmtId="168" fontId="31" fillId="0" borderId="36" xfId="0" applyNumberFormat="1" applyFont="1" applyBorder="1"/>
    <xf numFmtId="168" fontId="31" fillId="0" borderId="37" xfId="0" applyNumberFormat="1" applyFont="1" applyBorder="1"/>
    <xf numFmtId="168" fontId="31" fillId="0" borderId="38" xfId="0" applyNumberFormat="1" applyFont="1" applyBorder="1"/>
    <xf numFmtId="184" fontId="31" fillId="0" borderId="0" xfId="0" applyNumberFormat="1" applyFont="1" applyAlignment="1">
      <alignment horizontal="left"/>
    </xf>
    <xf numFmtId="172" fontId="10" fillId="0" borderId="0" xfId="0" applyNumberFormat="1" applyFont="1" applyAlignment="1">
      <alignment horizontal="left"/>
    </xf>
    <xf numFmtId="168" fontId="31" fillId="0" borderId="21" xfId="0" applyNumberFormat="1" applyFont="1" applyBorder="1" applyAlignment="1">
      <alignment horizontal="right"/>
    </xf>
    <xf numFmtId="184" fontId="31" fillId="0" borderId="21" xfId="0" applyNumberFormat="1" applyFont="1" applyBorder="1" applyAlignment="1">
      <alignment horizontal="left"/>
    </xf>
    <xf numFmtId="184" fontId="31" fillId="0" borderId="17" xfId="0" applyNumberFormat="1" applyFont="1" applyBorder="1" applyAlignment="1">
      <alignment horizontal="left"/>
    </xf>
    <xf numFmtId="172" fontId="10" fillId="0" borderId="22" xfId="0" applyNumberFormat="1" applyFont="1" applyBorder="1" applyAlignment="1">
      <alignment horizontal="left"/>
    </xf>
    <xf numFmtId="168" fontId="31" fillId="0" borderId="23" xfId="0" applyNumberFormat="1" applyFont="1" applyBorder="1" applyAlignment="1">
      <alignment horizontal="right"/>
    </xf>
    <xf numFmtId="184" fontId="31" fillId="0" borderId="23" xfId="0" applyNumberFormat="1" applyFont="1" applyBorder="1" applyAlignment="1">
      <alignment horizontal="left"/>
    </xf>
    <xf numFmtId="172" fontId="10" fillId="0" borderId="24" xfId="0" applyNumberFormat="1" applyFont="1" applyBorder="1" applyAlignment="1">
      <alignment horizontal="left"/>
    </xf>
    <xf numFmtId="168" fontId="31" fillId="0" borderId="25" xfId="0" applyNumberFormat="1" applyFont="1" applyBorder="1" applyAlignment="1">
      <alignment horizontal="right"/>
    </xf>
    <xf numFmtId="168" fontId="31" fillId="0" borderId="26" xfId="0" applyNumberFormat="1" applyFont="1" applyBorder="1" applyAlignment="1">
      <alignment horizontal="right"/>
    </xf>
    <xf numFmtId="184" fontId="31" fillId="0" borderId="25" xfId="0" applyNumberFormat="1" applyFont="1" applyBorder="1" applyAlignment="1">
      <alignment horizontal="left"/>
    </xf>
    <xf numFmtId="184" fontId="31" fillId="0" borderId="26" xfId="0" applyNumberFormat="1" applyFont="1" applyBorder="1" applyAlignment="1">
      <alignment horizontal="left"/>
    </xf>
    <xf numFmtId="172" fontId="10" fillId="0" borderId="27" xfId="0" applyNumberFormat="1" applyFont="1" applyBorder="1" applyAlignment="1">
      <alignment horizontal="left"/>
    </xf>
    <xf numFmtId="188" fontId="10" fillId="0" borderId="0" xfId="0" applyNumberFormat="1" applyFont="1" applyAlignment="1">
      <alignment horizontal="right"/>
    </xf>
    <xf numFmtId="37" fontId="53" fillId="0" borderId="0" xfId="0" applyNumberFormat="1" applyFont="1" applyAlignment="1">
      <alignment horizontal="centerContinuous" vertical="center"/>
    </xf>
    <xf numFmtId="172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176" fontId="31" fillId="0" borderId="21" xfId="0" applyNumberFormat="1" applyFont="1" applyBorder="1" applyAlignment="1">
      <alignment horizontal="right"/>
    </xf>
    <xf numFmtId="176" fontId="31" fillId="0" borderId="17" xfId="0" applyNumberFormat="1" applyFont="1" applyBorder="1" applyAlignment="1">
      <alignment horizontal="right"/>
    </xf>
    <xf numFmtId="172" fontId="15" fillId="0" borderId="21" xfId="0" applyNumberFormat="1" applyFont="1" applyBorder="1" applyAlignment="1">
      <alignment horizontal="left"/>
    </xf>
    <xf numFmtId="186" fontId="31" fillId="0" borderId="17" xfId="0" applyNumberFormat="1" applyFont="1" applyBorder="1" applyAlignment="1">
      <alignment horizontal="left"/>
    </xf>
    <xf numFmtId="176" fontId="31" fillId="0" borderId="23" xfId="0" applyNumberFormat="1" applyFont="1" applyBorder="1" applyAlignment="1">
      <alignment horizontal="right"/>
    </xf>
    <xf numFmtId="176" fontId="31" fillId="0" borderId="0" xfId="0" applyNumberFormat="1" applyFont="1" applyAlignment="1">
      <alignment horizontal="right"/>
    </xf>
    <xf numFmtId="172" fontId="15" fillId="0" borderId="23" xfId="0" applyNumberFormat="1" applyFont="1" applyBorder="1" applyAlignment="1">
      <alignment horizontal="left"/>
    </xf>
    <xf numFmtId="186" fontId="31" fillId="0" borderId="0" xfId="0" applyNumberFormat="1" applyFont="1" applyAlignment="1">
      <alignment horizontal="left"/>
    </xf>
    <xf numFmtId="0" fontId="63" fillId="0" borderId="17" xfId="0" applyFont="1" applyBorder="1" applyAlignment="1">
      <alignment horizontal="center"/>
    </xf>
    <xf numFmtId="0" fontId="31" fillId="0" borderId="22" xfId="0" applyFont="1" applyBorder="1" applyAlignment="1">
      <alignment horizontal="left"/>
    </xf>
    <xf numFmtId="176" fontId="31" fillId="0" borderId="25" xfId="0" applyNumberFormat="1" applyFont="1" applyBorder="1" applyAlignment="1">
      <alignment horizontal="right"/>
    </xf>
    <xf numFmtId="176" fontId="31" fillId="0" borderId="26" xfId="0" applyNumberFormat="1" applyFont="1" applyBorder="1" applyAlignment="1">
      <alignment horizontal="right"/>
    </xf>
    <xf numFmtId="172" fontId="15" fillId="0" borderId="25" xfId="0" applyNumberFormat="1" applyFont="1" applyBorder="1" applyAlignment="1">
      <alignment horizontal="left"/>
    </xf>
    <xf numFmtId="186" fontId="31" fillId="0" borderId="26" xfId="0" applyNumberFormat="1" applyFont="1" applyBorder="1" applyAlignment="1">
      <alignment horizontal="left"/>
    </xf>
    <xf numFmtId="175" fontId="31" fillId="0" borderId="25" xfId="1" applyNumberFormat="1" applyFont="1" applyFill="1" applyBorder="1" applyAlignment="1">
      <alignment horizontal="right"/>
    </xf>
    <xf numFmtId="0" fontId="63" fillId="0" borderId="26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54" fillId="0" borderId="0" xfId="0" applyFont="1" applyAlignment="1">
      <alignment horizontal="left"/>
    </xf>
    <xf numFmtId="175" fontId="24" fillId="0" borderId="0" xfId="1" applyNumberFormat="1" applyFont="1" applyBorder="1" applyAlignment="1">
      <alignment horizontal="right"/>
    </xf>
    <xf numFmtId="175" fontId="60" fillId="0" borderId="0" xfId="1" applyNumberFormat="1" applyFont="1" applyBorder="1" applyAlignment="1">
      <alignment horizontal="right"/>
    </xf>
    <xf numFmtId="176" fontId="31" fillId="0" borderId="36" xfId="0" applyNumberFormat="1" applyFont="1" applyBorder="1" applyAlignment="1">
      <alignment horizontal="right"/>
    </xf>
    <xf numFmtId="176" fontId="31" fillId="0" borderId="37" xfId="0" applyNumberFormat="1" applyFont="1" applyBorder="1" applyAlignment="1">
      <alignment horizontal="right"/>
    </xf>
    <xf numFmtId="184" fontId="40" fillId="0" borderId="23" xfId="0" applyNumberFormat="1" applyFont="1" applyBorder="1"/>
    <xf numFmtId="174" fontId="10" fillId="0" borderId="0" xfId="0" applyNumberFormat="1" applyFont="1" applyAlignment="1">
      <alignment horizontal="left"/>
    </xf>
    <xf numFmtId="168" fontId="15" fillId="0" borderId="21" xfId="0" applyNumberFormat="1" applyFont="1" applyBorder="1" applyAlignment="1">
      <alignment horizontal="right"/>
    </xf>
    <xf numFmtId="0" fontId="64" fillId="0" borderId="17" xfId="0" applyFont="1" applyBorder="1" applyAlignment="1">
      <alignment horizontal="center"/>
    </xf>
    <xf numFmtId="189" fontId="10" fillId="0" borderId="0" xfId="0" applyNumberFormat="1" applyFont="1" applyAlignment="1">
      <alignment horizontal="right"/>
    </xf>
    <xf numFmtId="175" fontId="15" fillId="0" borderId="25" xfId="1" applyNumberFormat="1" applyFont="1" applyFill="1" applyBorder="1" applyAlignment="1">
      <alignment horizontal="right"/>
    </xf>
    <xf numFmtId="0" fontId="64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left"/>
    </xf>
    <xf numFmtId="168" fontId="40" fillId="0" borderId="0" xfId="0" applyNumberFormat="1" applyFont="1"/>
    <xf numFmtId="183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9" fontId="10" fillId="0" borderId="0" xfId="1" applyFont="1" applyBorder="1" applyAlignment="1">
      <alignment horizontal="right"/>
    </xf>
    <xf numFmtId="190" fontId="39" fillId="7" borderId="0" xfId="0" applyNumberFormat="1" applyFont="1" applyFill="1" applyAlignment="1">
      <alignment vertical="center"/>
    </xf>
    <xf numFmtId="0" fontId="64" fillId="0" borderId="0" xfId="0" applyFont="1" applyAlignment="1">
      <alignment horizontal="center"/>
    </xf>
    <xf numFmtId="0" fontId="31" fillId="0" borderId="0" xfId="0" applyFont="1"/>
    <xf numFmtId="0" fontId="31" fillId="0" borderId="17" xfId="0" applyFont="1" applyBorder="1"/>
    <xf numFmtId="184" fontId="15" fillId="0" borderId="0" xfId="0" applyNumberFormat="1" applyFont="1"/>
    <xf numFmtId="184" fontId="15" fillId="0" borderId="17" xfId="0" applyNumberFormat="1" applyFont="1" applyBorder="1"/>
    <xf numFmtId="0" fontId="15" fillId="0" borderId="17" xfId="0" applyFont="1" applyBorder="1"/>
    <xf numFmtId="0" fontId="10" fillId="0" borderId="17" xfId="0" applyFont="1" applyBorder="1"/>
    <xf numFmtId="0" fontId="17" fillId="0" borderId="17" xfId="0" applyFont="1" applyBorder="1"/>
    <xf numFmtId="184" fontId="33" fillId="0" borderId="0" xfId="0" applyNumberFormat="1" applyFont="1"/>
    <xf numFmtId="38" fontId="15" fillId="0" borderId="0" xfId="0" applyNumberFormat="1" applyFont="1"/>
    <xf numFmtId="40" fontId="15" fillId="0" borderId="0" xfId="0" applyNumberFormat="1" applyFont="1"/>
    <xf numFmtId="0" fontId="38" fillId="0" borderId="0" xfId="0" applyFont="1" applyAlignment="1">
      <alignment horizontal="center"/>
    </xf>
    <xf numFmtId="168" fontId="31" fillId="0" borderId="21" xfId="0" applyNumberFormat="1" applyFont="1" applyBorder="1"/>
    <xf numFmtId="168" fontId="31" fillId="0" borderId="22" xfId="0" applyNumberFormat="1" applyFont="1" applyBorder="1"/>
    <xf numFmtId="168" fontId="31" fillId="0" borderId="23" xfId="0" applyNumberFormat="1" applyFont="1" applyBorder="1"/>
    <xf numFmtId="168" fontId="31" fillId="0" borderId="24" xfId="0" applyNumberFormat="1" applyFont="1" applyBorder="1"/>
    <xf numFmtId="170" fontId="40" fillId="0" borderId="0" xfId="1" applyNumberFormat="1" applyFont="1" applyFill="1" applyBorder="1"/>
    <xf numFmtId="170" fontId="40" fillId="0" borderId="17" xfId="1" applyNumberFormat="1" applyFont="1" applyFill="1" applyBorder="1"/>
    <xf numFmtId="168" fontId="40" fillId="0" borderId="17" xfId="0" applyNumberFormat="1" applyFont="1" applyBorder="1"/>
    <xf numFmtId="0" fontId="31" fillId="0" borderId="17" xfId="0" applyFont="1" applyBorder="1" applyAlignment="1">
      <alignment horizontal="left"/>
    </xf>
    <xf numFmtId="175" fontId="31" fillId="0" borderId="0" xfId="0" applyNumberFormat="1" applyFont="1"/>
    <xf numFmtId="175" fontId="31" fillId="0" borderId="17" xfId="0" applyNumberFormat="1" applyFont="1" applyBorder="1"/>
    <xf numFmtId="170" fontId="31" fillId="0" borderId="0" xfId="1" applyNumberFormat="1" applyFont="1" applyFill="1" applyBorder="1"/>
    <xf numFmtId="184" fontId="31" fillId="0" borderId="17" xfId="0" applyNumberFormat="1" applyFont="1" applyBorder="1"/>
    <xf numFmtId="170" fontId="31" fillId="0" borderId="17" xfId="1" applyNumberFormat="1" applyFont="1" applyFill="1" applyBorder="1"/>
    <xf numFmtId="168" fontId="15" fillId="0" borderId="17" xfId="0" applyNumberFormat="1" applyFont="1" applyBorder="1"/>
    <xf numFmtId="0" fontId="48" fillId="0" borderId="0" xfId="0" applyFont="1" applyAlignment="1">
      <alignment horizontal="left"/>
    </xf>
    <xf numFmtId="175" fontId="15" fillId="0" borderId="17" xfId="0" applyNumberFormat="1" applyFont="1" applyBorder="1"/>
    <xf numFmtId="175" fontId="40" fillId="0" borderId="17" xfId="0" applyNumberFormat="1" applyFont="1" applyBorder="1"/>
    <xf numFmtId="175" fontId="15" fillId="0" borderId="0" xfId="0" applyNumberFormat="1" applyFont="1"/>
    <xf numFmtId="175" fontId="40" fillId="0" borderId="0" xfId="0" applyNumberFormat="1" applyFont="1"/>
    <xf numFmtId="184" fontId="65" fillId="0" borderId="0" xfId="0" applyNumberFormat="1" applyFont="1" applyAlignment="1">
      <alignment horizontal="centerContinuous"/>
    </xf>
    <xf numFmtId="169" fontId="31" fillId="0" borderId="0" xfId="0" applyNumberFormat="1" applyFont="1"/>
    <xf numFmtId="169" fontId="40" fillId="0" borderId="0" xfId="0" applyNumberFormat="1" applyFont="1"/>
    <xf numFmtId="169" fontId="31" fillId="0" borderId="21" xfId="0" applyNumberFormat="1" applyFont="1" applyBorder="1"/>
    <xf numFmtId="169" fontId="31" fillId="0" borderId="17" xfId="0" applyNumberFormat="1" applyFont="1" applyBorder="1"/>
    <xf numFmtId="169" fontId="31" fillId="0" borderId="22" xfId="0" applyNumberFormat="1" applyFont="1" applyBorder="1"/>
    <xf numFmtId="165" fontId="31" fillId="0" borderId="39" xfId="0" applyNumberFormat="1" applyFont="1" applyBorder="1"/>
    <xf numFmtId="165" fontId="31" fillId="0" borderId="40" xfId="0" applyNumberFormat="1" applyFont="1" applyBorder="1"/>
    <xf numFmtId="165" fontId="31" fillId="0" borderId="41" xfId="0" applyNumberFormat="1" applyFont="1" applyBorder="1"/>
    <xf numFmtId="191" fontId="64" fillId="0" borderId="0" xfId="0" applyNumberFormat="1" applyFont="1" applyAlignment="1">
      <alignment horizontal="left" indent="1"/>
    </xf>
    <xf numFmtId="169" fontId="31" fillId="0" borderId="26" xfId="0" applyNumberFormat="1" applyFont="1" applyBorder="1"/>
    <xf numFmtId="169" fontId="15" fillId="0" borderId="0" xfId="0" applyNumberFormat="1" applyFont="1"/>
    <xf numFmtId="192" fontId="40" fillId="0" borderId="0" xfId="0" applyNumberFormat="1" applyFont="1"/>
    <xf numFmtId="177" fontId="2" fillId="0" borderId="0" xfId="7" applyNumberFormat="1" applyFont="1" applyFill="1" applyProtection="1">
      <protection locked="0"/>
    </xf>
    <xf numFmtId="179" fontId="10" fillId="0" borderId="17" xfId="0" applyNumberFormat="1" applyFont="1" applyBorder="1"/>
    <xf numFmtId="168" fontId="48" fillId="0" borderId="0" xfId="6" applyNumberFormat="1" applyFont="1" applyFill="1" applyBorder="1" applyAlignment="1">
      <alignment horizontal="right"/>
    </xf>
    <xf numFmtId="0" fontId="32" fillId="0" borderId="0" xfId="0" applyFont="1" applyAlignment="1">
      <alignment horizontal="left" indent="1"/>
    </xf>
    <xf numFmtId="179" fontId="10" fillId="0" borderId="33" xfId="0" applyNumberFormat="1" applyFont="1" applyBorder="1" applyAlignment="1">
      <alignment horizontal="right" vertical="center"/>
    </xf>
    <xf numFmtId="179" fontId="36" fillId="0" borderId="3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indent="1"/>
    </xf>
    <xf numFmtId="179" fontId="10" fillId="0" borderId="0" xfId="0" applyNumberFormat="1" applyFont="1"/>
    <xf numFmtId="179" fontId="36" fillId="0" borderId="0" xfId="0" applyNumberFormat="1" applyFont="1"/>
    <xf numFmtId="179" fontId="15" fillId="0" borderId="26" xfId="0" applyNumberFormat="1" applyFont="1" applyBorder="1"/>
    <xf numFmtId="179" fontId="40" fillId="0" borderId="26" xfId="0" applyNumberFormat="1" applyFont="1" applyBorder="1"/>
    <xf numFmtId="179" fontId="31" fillId="0" borderId="0" xfId="0" applyNumberFormat="1" applyFont="1"/>
    <xf numFmtId="179" fontId="40" fillId="0" borderId="0" xfId="0" applyNumberFormat="1" applyFont="1"/>
    <xf numFmtId="168" fontId="40" fillId="0" borderId="0" xfId="0" applyNumberFormat="1" applyFont="1" applyAlignment="1">
      <alignment horizontal="right"/>
    </xf>
    <xf numFmtId="184" fontId="2" fillId="0" borderId="0" xfId="0" applyNumberFormat="1" applyFont="1"/>
    <xf numFmtId="168" fontId="15" fillId="0" borderId="0" xfId="0" applyNumberFormat="1" applyFont="1" applyAlignment="1">
      <alignment horizontal="right"/>
    </xf>
    <xf numFmtId="168" fontId="15" fillId="0" borderId="17" xfId="0" applyNumberFormat="1" applyFont="1" applyBorder="1" applyAlignment="1">
      <alignment horizontal="right"/>
    </xf>
    <xf numFmtId="168" fontId="40" fillId="0" borderId="17" xfId="0" applyNumberFormat="1" applyFont="1" applyBorder="1" applyAlignment="1">
      <alignment horizontal="right"/>
    </xf>
    <xf numFmtId="184" fontId="35" fillId="0" borderId="33" xfId="0" applyNumberFormat="1" applyFont="1" applyBorder="1" applyAlignment="1">
      <alignment horizontal="right" vertical="center"/>
    </xf>
    <xf numFmtId="184" fontId="36" fillId="0" borderId="33" xfId="0" applyNumberFormat="1" applyFont="1" applyBorder="1" applyAlignment="1">
      <alignment horizontal="right" vertical="center"/>
    </xf>
    <xf numFmtId="184" fontId="15" fillId="0" borderId="26" xfId="0" applyNumberFormat="1" applyFont="1" applyBorder="1"/>
    <xf numFmtId="184" fontId="40" fillId="0" borderId="26" xfId="0" applyNumberFormat="1" applyFont="1" applyBorder="1"/>
    <xf numFmtId="184" fontId="27" fillId="0" borderId="0" xfId="0" applyNumberFormat="1" applyFont="1"/>
    <xf numFmtId="184" fontId="66" fillId="0" borderId="0" xfId="0" applyNumberFormat="1" applyFont="1"/>
    <xf numFmtId="0" fontId="15" fillId="0" borderId="0" xfId="0" applyFont="1" applyAlignment="1">
      <alignment horizontal="left" indent="2"/>
    </xf>
    <xf numFmtId="184" fontId="15" fillId="0" borderId="0" xfId="0" applyNumberFormat="1" applyFont="1" applyAlignment="1">
      <alignment horizontal="right"/>
    </xf>
    <xf numFmtId="184" fontId="33" fillId="0" borderId="0" xfId="0" applyNumberFormat="1" applyFont="1" applyAlignment="1">
      <alignment horizontal="right"/>
    </xf>
    <xf numFmtId="168" fontId="10" fillId="0" borderId="35" xfId="0" applyNumberFormat="1" applyFont="1" applyBorder="1" applyAlignment="1">
      <alignment horizontal="right" vertical="center"/>
    </xf>
    <xf numFmtId="168" fontId="36" fillId="0" borderId="35" xfId="0" applyNumberFormat="1" applyFont="1" applyBorder="1" applyAlignment="1">
      <alignment horizontal="right" vertical="center"/>
    </xf>
    <xf numFmtId="168" fontId="36" fillId="0" borderId="0" xfId="0" applyNumberFormat="1" applyFont="1" applyAlignment="1">
      <alignment horizontal="right"/>
    </xf>
    <xf numFmtId="168" fontId="36" fillId="0" borderId="0" xfId="1" applyNumberFormat="1" applyFont="1" applyFill="1" applyAlignment="1">
      <alignment horizontal="right"/>
    </xf>
    <xf numFmtId="168" fontId="10" fillId="0" borderId="0" xfId="1" applyNumberFormat="1" applyFont="1" applyFill="1" applyBorder="1" applyAlignment="1">
      <alignment horizontal="right"/>
    </xf>
    <xf numFmtId="168" fontId="10" fillId="0" borderId="0" xfId="1" applyNumberFormat="1" applyFont="1" applyFill="1" applyAlignment="1">
      <alignment horizontal="right"/>
    </xf>
    <xf numFmtId="169" fontId="31" fillId="0" borderId="36" xfId="0" applyNumberFormat="1" applyFont="1" applyBorder="1"/>
    <xf numFmtId="169" fontId="31" fillId="0" borderId="37" xfId="0" applyNumberFormat="1" applyFont="1" applyBorder="1"/>
    <xf numFmtId="169" fontId="40" fillId="0" borderId="37" xfId="0" applyNumberFormat="1" applyFont="1" applyBorder="1"/>
    <xf numFmtId="169" fontId="40" fillId="0" borderId="38" xfId="0" applyNumberFormat="1" applyFont="1" applyBorder="1"/>
    <xf numFmtId="193" fontId="67" fillId="0" borderId="0" xfId="7" applyNumberFormat="1" applyFont="1" applyAlignment="1" applyProtection="1">
      <alignment horizontal="center"/>
      <protection locked="0"/>
    </xf>
    <xf numFmtId="0" fontId="68" fillId="5" borderId="0" xfId="0" applyFont="1" applyFill="1"/>
    <xf numFmtId="0" fontId="41" fillId="2" borderId="0" xfId="2" applyFont="1" applyFill="1"/>
    <xf numFmtId="0" fontId="69" fillId="2" borderId="0" xfId="2" applyFont="1" applyFill="1"/>
    <xf numFmtId="0" fontId="53" fillId="2" borderId="0" xfId="2" applyFont="1" applyFill="1"/>
    <xf numFmtId="164" fontId="41" fillId="2" borderId="0" xfId="2" applyNumberFormat="1" applyFont="1" applyFill="1" applyAlignment="1">
      <alignment horizontal="left"/>
    </xf>
  </cellXfs>
  <cellStyles count="8">
    <cellStyle name="Comma 2" xfId="6" xr:uid="{5BA99759-EB4F-434A-8AAF-5370D1F6E7E1}"/>
    <cellStyle name="Comma 2 2" xfId="7" xr:uid="{D99A2FF5-0E35-4F41-9C8F-1611F3923E82}"/>
    <cellStyle name="Hyperlink" xfId="4" builtinId="8"/>
    <cellStyle name="Hyperlink 2 2" xfId="3" xr:uid="{C11B95C7-D485-4177-9C5E-0BF1491D9562}"/>
    <cellStyle name="Normal" xfId="0" builtinId="0"/>
    <cellStyle name="Normal 2" xfId="5" xr:uid="{8B89B90A-4554-4291-9E87-FB18561B5AE2}"/>
    <cellStyle name="Normal 2 2 2" xfId="2" xr:uid="{AA92D891-BCBC-4908-815C-CA5FBFFA1CE4}"/>
    <cellStyle name="Percent" xfId="1" builtinId="5"/>
  </cellStyles>
  <dxfs count="17">
    <dxf>
      <font>
        <b/>
        <i val="0"/>
        <color theme="0"/>
      </font>
      <fill>
        <patternFill patternType="solid">
          <bgColor rgb="FF947131"/>
        </patternFill>
      </fill>
    </dxf>
    <dxf>
      <font>
        <b/>
        <i val="0"/>
        <color theme="0"/>
      </font>
      <fill>
        <patternFill>
          <bgColor rgb="FF947131"/>
        </patternFill>
      </fill>
    </dxf>
    <dxf>
      <font>
        <b/>
        <i val="0"/>
        <color theme="0"/>
      </font>
      <fill>
        <patternFill patternType="solid">
          <bgColor rgb="FF94713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indexed="65"/>
        </patternFill>
      </fill>
    </dxf>
    <dxf>
      <font>
        <color rgb="FF006100"/>
      </font>
      <fill>
        <patternFill patternType="none">
          <bgColor indexed="65"/>
        </patternFill>
      </fill>
    </dxf>
    <dxf>
      <font>
        <b/>
        <i val="0"/>
        <color theme="0"/>
      </font>
      <fill>
        <patternFill>
          <fgColor auto="1"/>
          <bgColor rgb="FFFA621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indexed="65"/>
        </patternFill>
      </fill>
    </dxf>
    <dxf>
      <font>
        <b/>
        <i val="0"/>
        <color theme="0"/>
      </font>
      <fill>
        <patternFill>
          <fgColor auto="1"/>
          <bgColor rgb="FF9471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02917734783567"/>
          <c:y val="0.11494971400294005"/>
          <c:w val="0.76762868213496627"/>
          <c:h val="0.777849418545417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Outputs!$C$11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E7F2FF"/>
            </a:solidFill>
            <a:ln w="9525" cap="flat" cmpd="sng" algn="ctr">
              <a:solidFill>
                <a:srgbClr val="E9F6F7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numRef>
              <c:f>Outputs!$H$5:$O$5</c:f>
              <c:numCache>
                <c:formatCode>0000\A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 formatCode="0&quot;F&quot;">
                  <c:v>2023</c:v>
                </c:pt>
                <c:pt idx="4" formatCode="0&quot;F&quot;">
                  <c:v>2024</c:v>
                </c:pt>
                <c:pt idx="5" formatCode="0&quot;F&quot;">
                  <c:v>2025</c:v>
                </c:pt>
                <c:pt idx="6" formatCode="0&quot;F&quot;">
                  <c:v>2026</c:v>
                </c:pt>
                <c:pt idx="7" formatCode="0&quot;F&quot;">
                  <c:v>2027</c:v>
                </c:pt>
              </c:numCache>
            </c:numRef>
          </c:cat>
          <c:val>
            <c:numRef>
              <c:f>Outputs!$H$11:$O$11</c:f>
              <c:numCache>
                <c:formatCode>_(#,##0_);\(#,##0\);_("–"_);_(@_)</c:formatCode>
                <c:ptCount val="8"/>
                <c:pt idx="0">
                  <c:v>50589</c:v>
                </c:pt>
                <c:pt idx="1">
                  <c:v>51647.864999999998</c:v>
                </c:pt>
                <c:pt idx="2">
                  <c:v>53760.85</c:v>
                </c:pt>
                <c:pt idx="3">
                  <c:v>57311.754142500002</c:v>
                </c:pt>
                <c:pt idx="4">
                  <c:v>59627.149009857007</c:v>
                </c:pt>
                <c:pt idx="5">
                  <c:v>62036.085829855227</c:v>
                </c:pt>
                <c:pt idx="6">
                  <c:v>64225.95965964911</c:v>
                </c:pt>
                <c:pt idx="7">
                  <c:v>66167.189290361988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B-41C5-A074-B8B3B308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35279256"/>
        <c:axId val="635280568"/>
      </c:barChart>
      <c:lineChart>
        <c:grouping val="standard"/>
        <c:varyColors val="0"/>
        <c:ser>
          <c:idx val="1"/>
          <c:order val="1"/>
          <c:tx>
            <c:strRef>
              <c:f>Outputs!$C$14</c:f>
              <c:strCache>
                <c:ptCount val="1"/>
                <c:pt idx="0">
                  <c:v>EBITDA Margin</c:v>
                </c:pt>
              </c:strCache>
            </c:strRef>
          </c:tx>
          <c:spPr>
            <a:ln w="28575" cap="rnd" cmpd="sng" algn="ctr">
              <a:solidFill>
                <a:srgbClr val="3271D2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Outputs!$H$5:$O$5</c:f>
              <c:numCache>
                <c:formatCode>0000\A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 formatCode="0&quot;F&quot;">
                  <c:v>2023</c:v>
                </c:pt>
                <c:pt idx="4" formatCode="0&quot;F&quot;">
                  <c:v>2024</c:v>
                </c:pt>
                <c:pt idx="5" formatCode="0&quot;F&quot;">
                  <c:v>2025</c:v>
                </c:pt>
                <c:pt idx="6" formatCode="0&quot;F&quot;">
                  <c:v>2026</c:v>
                </c:pt>
                <c:pt idx="7" formatCode="0&quot;F&quot;">
                  <c:v>2027</c:v>
                </c:pt>
              </c:numCache>
            </c:numRef>
          </c:cat>
          <c:val>
            <c:numRef>
              <c:f>Outputs!$H$14:$O$14</c:f>
              <c:numCache>
                <c:formatCode>_(#,##0.0%_);\(#,##0.0%\);_("–"_)_%;_(@_)_%</c:formatCode>
                <c:ptCount val="8"/>
                <c:pt idx="0">
                  <c:v>0.36378857063788572</c:v>
                </c:pt>
                <c:pt idx="1">
                  <c:v>0.36026369337822578</c:v>
                </c:pt>
                <c:pt idx="2">
                  <c:v>0.36851070063066338</c:v>
                </c:pt>
                <c:pt idx="3">
                  <c:v>0.38385806546289314</c:v>
                </c:pt>
                <c:pt idx="4">
                  <c:v>0.38794675838790843</c:v>
                </c:pt>
                <c:pt idx="5">
                  <c:v>0.39197428248028349</c:v>
                </c:pt>
                <c:pt idx="6">
                  <c:v>0.396439973486855</c:v>
                </c:pt>
                <c:pt idx="7">
                  <c:v>0.39790201351824772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6B-41C5-A074-B8B3B3085811}"/>
            </c:ext>
          </c:extLst>
        </c:ser>
        <c:ser>
          <c:idx val="2"/>
          <c:order val="2"/>
          <c:tx>
            <c:strRef>
              <c:f>Outputs!$C$17</c:f>
              <c:strCache>
                <c:ptCount val="1"/>
                <c:pt idx="0">
                  <c:v>Net Income Margin</c:v>
                </c:pt>
              </c:strCache>
            </c:strRef>
          </c:tx>
          <c:spPr>
            <a:ln w="28575" cap="rnd" cmpd="sng" algn="ctr">
              <a:solidFill>
                <a:srgbClr val="94713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Outputs!$H$5:$O$5</c:f>
              <c:numCache>
                <c:formatCode>0000\A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 formatCode="0&quot;F&quot;">
                  <c:v>2023</c:v>
                </c:pt>
                <c:pt idx="4" formatCode="0&quot;F&quot;">
                  <c:v>2024</c:v>
                </c:pt>
                <c:pt idx="5" formatCode="0&quot;F&quot;">
                  <c:v>2025</c:v>
                </c:pt>
                <c:pt idx="6" formatCode="0&quot;F&quot;">
                  <c:v>2026</c:v>
                </c:pt>
                <c:pt idx="7" formatCode="0&quot;F&quot;">
                  <c:v>2027</c:v>
                </c:pt>
              </c:numCache>
            </c:numRef>
          </c:cat>
          <c:val>
            <c:numRef>
              <c:f>Outputs!$H$17:$O$17</c:f>
              <c:numCache>
                <c:formatCode>_(#,##0.0%_);\(#,##0.0%\);_("–"_)_%;_(@_)_%</c:formatCode>
                <c:ptCount val="8"/>
                <c:pt idx="0">
                  <c:v>0.21349898199213269</c:v>
                </c:pt>
                <c:pt idx="1">
                  <c:v>0.2038777517715398</c:v>
                </c:pt>
                <c:pt idx="2">
                  <c:v>0.20815237296285305</c:v>
                </c:pt>
                <c:pt idx="3">
                  <c:v>0.19195048659206201</c:v>
                </c:pt>
                <c:pt idx="4">
                  <c:v>0.18824639991676656</c:v>
                </c:pt>
                <c:pt idx="5">
                  <c:v>0.19564181994878022</c:v>
                </c:pt>
                <c:pt idx="6">
                  <c:v>0.20115535622302649</c:v>
                </c:pt>
                <c:pt idx="7">
                  <c:v>0.20379088480353105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6B-41C5-A074-B8B3B308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547456"/>
        <c:axId val="405025360"/>
      </c:lineChart>
      <c:catAx>
        <c:axId val="635279256"/>
        <c:scaling>
          <c:orientation val="minMax"/>
        </c:scaling>
        <c:delete val="0"/>
        <c:axPos val="b"/>
        <c:numFmt formatCode="0000\A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635280568"/>
        <c:crosses val="autoZero"/>
        <c:auto val="1"/>
        <c:lblAlgn val="ctr"/>
        <c:lblOffset val="100"/>
        <c:noMultiLvlLbl val="0"/>
      </c:catAx>
      <c:valAx>
        <c:axId val="635280568"/>
        <c:scaling>
          <c:orientation val="minMax"/>
        </c:scaling>
        <c:delete val="0"/>
        <c:axPos val="l"/>
        <c:numFmt formatCode="_(#,##0_);\(#,##0\);_(&quot;–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635279256"/>
        <c:crosses val="autoZero"/>
        <c:crossBetween val="between"/>
      </c:valAx>
      <c:valAx>
        <c:axId val="405025360"/>
        <c:scaling>
          <c:orientation val="minMax"/>
        </c:scaling>
        <c:delete val="0"/>
        <c:axPos val="r"/>
        <c:numFmt formatCode="_(#,##0.0%_);\(#,##0.0%\);_(&quot;–&quot;_)_%;_(@_)_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53547456"/>
        <c:crosses val="max"/>
        <c:crossBetween val="between"/>
      </c:valAx>
      <c:catAx>
        <c:axId val="553547456"/>
        <c:scaling>
          <c:orientation val="minMax"/>
        </c:scaling>
        <c:delete val="1"/>
        <c:axPos val="b"/>
        <c:numFmt formatCode="0000\A" sourceLinked="1"/>
        <c:majorTickMark val="out"/>
        <c:minorTickMark val="none"/>
        <c:tickLblPos val="nextTo"/>
        <c:crossAx val="40502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333488497118543"/>
          <c:y val="5.0831792975970423E-2"/>
          <c:w val="0.76400777572706335"/>
          <c:h val="7.79451466404126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02917734783567"/>
          <c:y val="0.1020375223772628"/>
          <c:w val="0.8158215678085714"/>
          <c:h val="0.7971414548023136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Outputs!$C$23</c:f>
              <c:strCache>
                <c:ptCount val="1"/>
                <c:pt idx="0">
                  <c:v>Investing</c:v>
                </c:pt>
              </c:strCache>
            </c:strRef>
          </c:tx>
          <c:spPr>
            <a:solidFill>
              <a:srgbClr val="3271D2"/>
            </a:solidFill>
            <a:ln w="9525" cap="flat" cmpd="sng" algn="ctr">
              <a:solidFill>
                <a:srgbClr val="3271D2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numRef>
              <c:f>Outputs!$H$5:$O$5</c:f>
              <c:numCache>
                <c:formatCode>0000\A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 formatCode="0&quot;F&quot;">
                  <c:v>2023</c:v>
                </c:pt>
                <c:pt idx="4" formatCode="0&quot;F&quot;">
                  <c:v>2024</c:v>
                </c:pt>
                <c:pt idx="5" formatCode="0&quot;F&quot;">
                  <c:v>2025</c:v>
                </c:pt>
                <c:pt idx="6" formatCode="0&quot;F&quot;">
                  <c:v>2026</c:v>
                </c:pt>
                <c:pt idx="7" formatCode="0&quot;F&quot;">
                  <c:v>2027</c:v>
                </c:pt>
              </c:numCache>
            </c:numRef>
          </c:cat>
          <c:val>
            <c:numRef>
              <c:f>Outputs!$H$23:$O$23</c:f>
              <c:numCache>
                <c:formatCode>_(#,##0_);\(#,##0\);_("–"_);_(@_)</c:formatCode>
                <c:ptCount val="8"/>
                <c:pt idx="0">
                  <c:v>-9014.9999999999927</c:v>
                </c:pt>
                <c:pt idx="1">
                  <c:v>-11733.000000000005</c:v>
                </c:pt>
                <c:pt idx="2">
                  <c:v>-11130</c:v>
                </c:pt>
                <c:pt idx="3">
                  <c:v>-23000</c:v>
                </c:pt>
                <c:pt idx="4">
                  <c:v>-6450</c:v>
                </c:pt>
                <c:pt idx="5">
                  <c:v>-6600</c:v>
                </c:pt>
                <c:pt idx="6">
                  <c:v>-6900</c:v>
                </c:pt>
                <c:pt idx="7">
                  <c:v>-7200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5-4382-B0E2-9C407679D2CD}"/>
            </c:ext>
          </c:extLst>
        </c:ser>
        <c:ser>
          <c:idx val="3"/>
          <c:order val="1"/>
          <c:tx>
            <c:strRef>
              <c:f>Outputs!$C$24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rgbClr val="1B3E70"/>
            </a:solidFill>
            <a:ln w="9525" cap="flat" cmpd="sng" algn="ctr">
              <a:solidFill>
                <a:srgbClr val="1B3E7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numRef>
              <c:f>Outputs!$H$5:$O$5</c:f>
              <c:numCache>
                <c:formatCode>0000\A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 formatCode="0&quot;F&quot;">
                  <c:v>2023</c:v>
                </c:pt>
                <c:pt idx="4" formatCode="0&quot;F&quot;">
                  <c:v>2024</c:v>
                </c:pt>
                <c:pt idx="5" formatCode="0&quot;F&quot;">
                  <c:v>2025</c:v>
                </c:pt>
                <c:pt idx="6" formatCode="0&quot;F&quot;">
                  <c:v>2026</c:v>
                </c:pt>
                <c:pt idx="7" formatCode="0&quot;F&quot;">
                  <c:v>2027</c:v>
                </c:pt>
              </c:numCache>
            </c:numRef>
          </c:cat>
          <c:val>
            <c:numRef>
              <c:f>Outputs!$H$24:$O$24</c:f>
              <c:numCache>
                <c:formatCode>_(#,##0_);\(#,##0\);_("–"_);_(@_)</c:formatCode>
                <c:ptCount val="8"/>
                <c:pt idx="0">
                  <c:v>-3465</c:v>
                </c:pt>
                <c:pt idx="1">
                  <c:v>-7761</c:v>
                </c:pt>
                <c:pt idx="2">
                  <c:v>-7216</c:v>
                </c:pt>
                <c:pt idx="3">
                  <c:v>-2543.5172248882595</c:v>
                </c:pt>
                <c:pt idx="4">
                  <c:v>-11346.57217957429</c:v>
                </c:pt>
                <c:pt idx="5">
                  <c:v>-7982.4041890885092</c:v>
                </c:pt>
                <c:pt idx="6">
                  <c:v>-7583.8791588204895</c:v>
                </c:pt>
                <c:pt idx="7">
                  <c:v>-7696.8540100891187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E5-4382-B0E2-9C407679D2CD}"/>
            </c:ext>
          </c:extLst>
        </c:ser>
        <c:ser>
          <c:idx val="0"/>
          <c:order val="2"/>
          <c:tx>
            <c:strRef>
              <c:f>Outputs!$C$22</c:f>
              <c:strCache>
                <c:ptCount val="1"/>
                <c:pt idx="0">
                  <c:v>Operating</c:v>
                </c:pt>
              </c:strCache>
            </c:strRef>
          </c:tx>
          <c:spPr>
            <a:solidFill>
              <a:srgbClr val="E7F2FF"/>
            </a:solidFill>
            <a:ln w="9525" cap="flat" cmpd="sng" algn="ctr">
              <a:solidFill>
                <a:srgbClr val="E7F2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numRef>
              <c:f>Outputs!$H$5:$O$5</c:f>
              <c:numCache>
                <c:formatCode>0000\A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 formatCode="0&quot;F&quot;">
                  <c:v>2023</c:v>
                </c:pt>
                <c:pt idx="4" formatCode="0&quot;F&quot;">
                  <c:v>2024</c:v>
                </c:pt>
                <c:pt idx="5" formatCode="0&quot;F&quot;">
                  <c:v>2025</c:v>
                </c:pt>
                <c:pt idx="6" formatCode="0&quot;F&quot;">
                  <c:v>2026</c:v>
                </c:pt>
                <c:pt idx="7" formatCode="0&quot;F&quot;">
                  <c:v>2027</c:v>
                </c:pt>
              </c:numCache>
            </c:numRef>
          </c:cat>
          <c:val>
            <c:numRef>
              <c:f>Outputs!$H$22:$O$22</c:f>
              <c:numCache>
                <c:formatCode>_(#,##0_);\(#,##0\);_("–"_);_(@_)</c:formatCode>
                <c:ptCount val="8"/>
                <c:pt idx="0">
                  <c:v>15655.7</c:v>
                </c:pt>
                <c:pt idx="1">
                  <c:v>16011.850599999998</c:v>
                </c:pt>
                <c:pt idx="2">
                  <c:v>17391.448499999999</c:v>
                </c:pt>
                <c:pt idx="3">
                  <c:v>17133.518124888258</c:v>
                </c:pt>
                <c:pt idx="4">
                  <c:v>17796.57217957429</c:v>
                </c:pt>
                <c:pt idx="5">
                  <c:v>18830.350311241236</c:v>
                </c:pt>
                <c:pt idx="6">
                  <c:v>19798.191209659948</c:v>
                </c:pt>
                <c:pt idx="7">
                  <c:v>20593.70566388921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E5-4382-B0E2-9C407679D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35279256"/>
        <c:axId val="635280568"/>
      </c:barChart>
      <c:lineChart>
        <c:grouping val="standard"/>
        <c:varyColors val="0"/>
        <c:ser>
          <c:idx val="2"/>
          <c:order val="3"/>
          <c:tx>
            <c:strRef>
              <c:f>Outputs!$C$25</c:f>
              <c:strCache>
                <c:ptCount val="1"/>
                <c:pt idx="0">
                  <c:v>Change in Cash</c:v>
                </c:pt>
              </c:strCache>
            </c:strRef>
          </c:tx>
          <c:spPr>
            <a:ln w="28575" cap="rnd" cmpd="sng" algn="ctr">
              <a:solidFill>
                <a:srgbClr val="94713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Outputs!$H$5:$O$5</c:f>
              <c:numCache>
                <c:formatCode>0000\A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 formatCode="0&quot;F&quot;">
                  <c:v>2023</c:v>
                </c:pt>
                <c:pt idx="4" formatCode="0&quot;F&quot;">
                  <c:v>2024</c:v>
                </c:pt>
                <c:pt idx="5" formatCode="0&quot;F&quot;">
                  <c:v>2025</c:v>
                </c:pt>
                <c:pt idx="6" formatCode="0&quot;F&quot;">
                  <c:v>2026</c:v>
                </c:pt>
                <c:pt idx="7" formatCode="0&quot;F&quot;">
                  <c:v>2027</c:v>
                </c:pt>
              </c:numCache>
            </c:numRef>
          </c:cat>
          <c:val>
            <c:numRef>
              <c:f>Outputs!$H$25:$O$25</c:f>
              <c:numCache>
                <c:formatCode>_(#,##0_);\(#,##0\);_("–"_);_(@_)</c:formatCode>
                <c:ptCount val="8"/>
                <c:pt idx="0">
                  <c:v>3175.700000000008</c:v>
                </c:pt>
                <c:pt idx="1">
                  <c:v>-3482.1494000000075</c:v>
                </c:pt>
                <c:pt idx="2">
                  <c:v>-954.5515000000014</c:v>
                </c:pt>
                <c:pt idx="3">
                  <c:v>-8409.9991000000009</c:v>
                </c:pt>
                <c:pt idx="4">
                  <c:v>0</c:v>
                </c:pt>
                <c:pt idx="5">
                  <c:v>4247.9461221527272</c:v>
                </c:pt>
                <c:pt idx="6">
                  <c:v>5314.3120508394586</c:v>
                </c:pt>
                <c:pt idx="7">
                  <c:v>5696.8516538000913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5-4382-B0E2-9C407679D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279256"/>
        <c:axId val="635280568"/>
      </c:lineChart>
      <c:catAx>
        <c:axId val="635279256"/>
        <c:scaling>
          <c:orientation val="minMax"/>
        </c:scaling>
        <c:delete val="0"/>
        <c:axPos val="b"/>
        <c:numFmt formatCode="0000\A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635280568"/>
        <c:crosses val="autoZero"/>
        <c:auto val="1"/>
        <c:lblAlgn val="ctr"/>
        <c:lblOffset val="100"/>
        <c:noMultiLvlLbl val="0"/>
      </c:catAx>
      <c:valAx>
        <c:axId val="635280568"/>
        <c:scaling>
          <c:orientation val="minMax"/>
        </c:scaling>
        <c:delete val="0"/>
        <c:axPos val="l"/>
        <c:numFmt formatCode="_(#,##0_);\(#,##0\);_(&quot;–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635279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333482827785988"/>
          <c:y val="4.0563972265461615E-2"/>
          <c:w val="0.86634672331237528"/>
          <c:h val="9.34523804984903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$D$23" fmlaRange="$Q$27:$Q$28" noThreeD="1" sel="2" val="0"/>
</file>

<file path=xl/ctrlProps/ctrlProp2.xml><?xml version="1.0" encoding="utf-8"?>
<formControlPr xmlns="http://schemas.microsoft.com/office/spreadsheetml/2009/9/main" objectType="Drop" dropStyle="combo" dx="22" fmlaLink="Inputs!$E$7" fmlaRange="Inputs!$B$12:$B$14" noThreeD="1" sel="1" val="0"/>
</file>

<file path=xl/ctrlProps/ctrlProp3.xml><?xml version="1.0" encoding="utf-8"?>
<formControlPr xmlns="http://schemas.microsoft.com/office/spreadsheetml/2009/9/main" objectType="Drop" dropStyle="combo" dx="22" fmlaLink="$E$7" fmlaRange="$B$12:$B$14" noThreeD="1" sel="1" val="0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1</xdr:rowOff>
    </xdr:from>
    <xdr:to>
      <xdr:col>8</xdr:col>
      <xdr:colOff>0</xdr:colOff>
      <xdr:row>47</xdr:row>
      <xdr:rowOff>57979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D2C865-76C3-4EDB-92A3-7179213EA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29</xdr:row>
      <xdr:rowOff>1</xdr:rowOff>
    </xdr:from>
    <xdr:to>
      <xdr:col>15</xdr:col>
      <xdr:colOff>3726</xdr:colOff>
      <xdr:row>46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5B5240-D61D-4FC4-B431-9D6B3F9BE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488950</xdr:colOff>
          <xdr:row>6</xdr:row>
          <xdr:rowOff>0</xdr:rowOff>
        </xdr:from>
        <xdr:to>
          <xdr:col>5</xdr:col>
          <xdr:colOff>0</xdr:colOff>
          <xdr:row>7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6</xdr:row>
          <xdr:rowOff>0</xdr:rowOff>
        </xdr:from>
        <xdr:to>
          <xdr:col>5</xdr:col>
          <xdr:colOff>0</xdr:colOff>
          <xdr:row>7</xdr:row>
          <xdr:rowOff>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BF4E-1A29-4A6C-AC9C-F178AFB7D2F6}">
  <sheetPr>
    <pageSetUpPr fitToPage="1"/>
  </sheetPr>
  <dimension ref="A1:X40"/>
  <sheetViews>
    <sheetView showGridLines="0" tabSelected="1" zoomScale="54" zoomScaleNormal="100" zoomScaleSheetLayoutView="85" workbookViewId="0">
      <selection activeCell="H26" sqref="H26"/>
    </sheetView>
  </sheetViews>
  <sheetFormatPr defaultColWidth="9.1796875" defaultRowHeight="19.5" customHeight="1" outlineLevelCol="1"/>
  <cols>
    <col min="1" max="1" width="4.7265625" style="1" customWidth="1"/>
    <col min="2" max="2" width="4.81640625" style="1" customWidth="1"/>
    <col min="3" max="3" width="18.7265625" style="1" customWidth="1"/>
    <col min="4" max="7" width="10.7265625" style="1" customWidth="1"/>
    <col min="8" max="8" width="18.7265625" style="1" customWidth="1"/>
    <col min="9" max="12" width="10.7265625" style="1" customWidth="1"/>
    <col min="13" max="13" width="26.7265625" style="1" customWidth="1"/>
    <col min="14" max="14" width="10.7265625" style="1" customWidth="1"/>
    <col min="15" max="15" width="4.81640625" style="1" customWidth="1"/>
    <col min="16" max="16" width="11" style="1" customWidth="1"/>
    <col min="17" max="17" width="10.81640625" style="1" customWidth="1" outlineLevel="1"/>
    <col min="18" max="16384" width="9.1796875" style="1"/>
  </cols>
  <sheetData>
    <row r="1" spans="1:17" ht="19.5" customHeight="1" thickBot="1">
      <c r="A1" s="56"/>
    </row>
    <row r="2" spans="1:17" ht="19.5" customHeight="1" thickTop="1">
      <c r="B2" s="55"/>
      <c r="C2" s="54"/>
      <c r="D2" s="54"/>
      <c r="E2" s="54"/>
      <c r="F2" s="54"/>
      <c r="G2" s="54"/>
      <c r="H2" s="53"/>
      <c r="I2" s="53"/>
      <c r="J2" s="53"/>
      <c r="K2" s="53"/>
      <c r="L2" s="53"/>
      <c r="M2" s="53"/>
      <c r="N2" s="53"/>
      <c r="O2" s="52"/>
      <c r="Q2" s="32"/>
    </row>
    <row r="3" spans="1:17" ht="19.5" customHeight="1">
      <c r="B3" s="50"/>
      <c r="C3" s="49"/>
      <c r="D3" s="49"/>
      <c r="E3" s="49"/>
      <c r="F3" s="49"/>
      <c r="G3" s="49"/>
      <c r="H3" s="48"/>
      <c r="I3" s="48"/>
      <c r="J3" s="48"/>
      <c r="K3" s="48"/>
      <c r="L3" s="48"/>
      <c r="M3" s="48"/>
      <c r="N3" s="48"/>
      <c r="O3" s="47"/>
    </row>
    <row r="4" spans="1:17" ht="19.5" customHeight="1">
      <c r="B4" s="50"/>
      <c r="C4" s="49"/>
      <c r="D4" s="49"/>
      <c r="E4" s="49"/>
      <c r="F4" s="49"/>
      <c r="G4" s="49"/>
      <c r="H4" s="48"/>
      <c r="I4" s="48"/>
      <c r="J4" s="48"/>
      <c r="K4" s="48"/>
      <c r="L4" s="48"/>
      <c r="M4" s="48"/>
      <c r="N4" s="48"/>
      <c r="O4" s="47"/>
    </row>
    <row r="5" spans="1:17" ht="9.5" customHeight="1">
      <c r="B5" s="50"/>
      <c r="C5" s="49"/>
      <c r="D5" s="49"/>
      <c r="E5" s="49"/>
      <c r="F5" s="49"/>
      <c r="G5" s="49"/>
      <c r="H5" s="48"/>
      <c r="I5" s="48"/>
      <c r="J5" s="48"/>
      <c r="K5" s="48"/>
      <c r="L5" s="48"/>
      <c r="M5" s="48"/>
      <c r="N5" s="48"/>
      <c r="O5" s="47"/>
    </row>
    <row r="6" spans="1:17" ht="30" customHeight="1">
      <c r="B6" s="50"/>
      <c r="C6" s="399" t="s">
        <v>210</v>
      </c>
      <c r="D6" s="49"/>
      <c r="E6" s="49"/>
      <c r="F6" s="49"/>
      <c r="G6" s="49"/>
      <c r="H6" s="51"/>
      <c r="I6" s="48"/>
      <c r="J6" s="48"/>
      <c r="K6" s="48"/>
      <c r="L6" s="48"/>
      <c r="M6" s="48"/>
      <c r="N6" s="48"/>
      <c r="O6" s="47"/>
      <c r="Q6" s="44"/>
    </row>
    <row r="7" spans="1:17" ht="19.5" customHeight="1">
      <c r="B7" s="50"/>
      <c r="C7" s="49"/>
      <c r="D7" s="49"/>
      <c r="E7" s="49"/>
      <c r="F7" s="49"/>
      <c r="G7" s="49"/>
      <c r="H7" s="48"/>
      <c r="I7" s="48"/>
      <c r="J7" s="48"/>
      <c r="K7" s="48"/>
      <c r="L7" s="48"/>
      <c r="M7" s="48"/>
      <c r="N7" s="48"/>
      <c r="O7" s="47"/>
    </row>
    <row r="8" spans="1:17" ht="19.5" customHeight="1">
      <c r="B8" s="50"/>
      <c r="C8" s="49"/>
      <c r="D8" s="49"/>
      <c r="E8" s="49"/>
      <c r="F8" s="49"/>
      <c r="G8" s="49"/>
      <c r="H8" s="48"/>
      <c r="I8" s="48"/>
      <c r="J8" s="48"/>
      <c r="K8" s="48"/>
      <c r="L8" s="48"/>
      <c r="M8" s="48"/>
      <c r="N8" s="48"/>
      <c r="O8" s="47"/>
    </row>
    <row r="9" spans="1:17" ht="19.5" customHeight="1">
      <c r="B9" s="50"/>
      <c r="C9" s="49"/>
      <c r="D9" s="49"/>
      <c r="E9" s="49"/>
      <c r="F9" s="49"/>
      <c r="G9" s="49"/>
      <c r="H9" s="48"/>
      <c r="I9" s="48"/>
      <c r="J9" s="48"/>
      <c r="K9" s="48"/>
      <c r="L9" s="48"/>
      <c r="M9" s="48"/>
      <c r="N9" s="48"/>
      <c r="O9" s="47"/>
    </row>
    <row r="10" spans="1:17" ht="19.5" customHeight="1">
      <c r="B10" s="8"/>
      <c r="O10" s="5"/>
    </row>
    <row r="11" spans="1:17" ht="28.5" customHeight="1">
      <c r="B11" s="8"/>
      <c r="C11" s="46" t="s">
        <v>15</v>
      </c>
      <c r="N11" s="45"/>
      <c r="O11" s="5"/>
      <c r="Q11" s="44"/>
    </row>
    <row r="12" spans="1:17" ht="19.5" customHeight="1">
      <c r="B12" s="8"/>
      <c r="C12" s="43"/>
      <c r="L12" s="42"/>
      <c r="O12" s="5"/>
    </row>
    <row r="13" spans="1:17" ht="19.5" customHeight="1">
      <c r="B13" s="8"/>
      <c r="O13" s="5"/>
    </row>
    <row r="14" spans="1:17" ht="19.5" customHeight="1">
      <c r="B14" s="8"/>
      <c r="C14" s="41" t="s">
        <v>14</v>
      </c>
      <c r="D14" s="10"/>
      <c r="E14" s="10"/>
      <c r="F14" s="10"/>
      <c r="G14" s="10"/>
      <c r="H14" s="10"/>
      <c r="J14" s="40"/>
      <c r="K14" s="39" t="s">
        <v>13</v>
      </c>
      <c r="L14" s="38"/>
      <c r="M14" s="37"/>
      <c r="N14" s="36"/>
      <c r="O14" s="5"/>
    </row>
    <row r="15" spans="1:17" ht="19.5" customHeight="1">
      <c r="B15" s="8"/>
      <c r="D15" s="10"/>
      <c r="E15" s="10"/>
      <c r="F15" s="10"/>
      <c r="G15" s="10"/>
      <c r="H15" s="10"/>
      <c r="J15" s="10"/>
      <c r="K15" s="10"/>
      <c r="L15" s="10"/>
      <c r="M15" s="10"/>
      <c r="N15" s="10"/>
      <c r="O15" s="5"/>
      <c r="Q15" s="32"/>
    </row>
    <row r="16" spans="1:17" ht="19.5" customHeight="1">
      <c r="B16" s="8"/>
      <c r="C16" s="35" t="s">
        <v>12</v>
      </c>
      <c r="D16" s="10"/>
      <c r="E16" s="10"/>
      <c r="F16" s="10"/>
      <c r="G16" s="10"/>
      <c r="H16" s="10"/>
      <c r="K16" s="29" t="s">
        <v>11</v>
      </c>
      <c r="M16" s="29"/>
      <c r="N16" s="34">
        <f>IF(SUM(Model!$F$155:$M$155)&gt;0,1,0)</f>
        <v>0</v>
      </c>
      <c r="O16" s="5"/>
      <c r="Q16" s="32"/>
    </row>
    <row r="17" spans="2:24" ht="19.5" customHeight="1">
      <c r="B17" s="8"/>
      <c r="C17" s="35" t="s">
        <v>10</v>
      </c>
      <c r="D17" s="10"/>
      <c r="E17" s="10"/>
      <c r="F17" s="10"/>
      <c r="G17" s="10"/>
      <c r="H17" s="10"/>
      <c r="K17" s="29" t="s">
        <v>9</v>
      </c>
      <c r="M17" s="29"/>
      <c r="N17" s="34">
        <f>Model!$D$317</f>
        <v>0</v>
      </c>
      <c r="O17" s="5"/>
    </row>
    <row r="18" spans="2:24" ht="19.5" customHeight="1">
      <c r="B18" s="8"/>
      <c r="C18" s="35" t="s">
        <v>8</v>
      </c>
      <c r="D18" s="10"/>
      <c r="E18" s="10"/>
      <c r="F18" s="10"/>
      <c r="G18" s="10"/>
      <c r="H18" s="10"/>
      <c r="K18" s="29" t="s">
        <v>7</v>
      </c>
      <c r="M18" s="29"/>
      <c r="N18" s="34">
        <f>IF(SUM(Model!F114:M114)=0,0,1)</f>
        <v>0</v>
      </c>
      <c r="O18" s="5"/>
      <c r="Q18" s="23"/>
    </row>
    <row r="19" spans="2:24" ht="19.5" customHeight="1">
      <c r="B19" s="8"/>
      <c r="C19" s="33"/>
      <c r="D19" s="10"/>
      <c r="E19" s="10"/>
      <c r="F19" s="10"/>
      <c r="G19" s="10"/>
      <c r="H19" s="10"/>
      <c r="O19" s="5"/>
      <c r="Q19" s="23"/>
    </row>
    <row r="20" spans="2:24" ht="19.5" customHeight="1">
      <c r="B20" s="8"/>
      <c r="C20" s="20"/>
      <c r="D20" s="10"/>
      <c r="E20" s="10"/>
      <c r="F20" s="10"/>
      <c r="G20" s="10"/>
      <c r="H20" s="10"/>
      <c r="I20" s="29"/>
      <c r="M20" s="29"/>
      <c r="N20" s="28"/>
      <c r="O20" s="5"/>
      <c r="Q20" s="32"/>
    </row>
    <row r="21" spans="2:24" ht="19.5" customHeight="1">
      <c r="B21" s="8"/>
      <c r="C21" s="31" t="s">
        <v>6</v>
      </c>
      <c r="D21" s="31"/>
      <c r="E21" s="30"/>
      <c r="F21" s="30"/>
      <c r="G21" s="10"/>
      <c r="H21" s="10"/>
      <c r="I21" s="29"/>
      <c r="M21" s="29"/>
      <c r="N21" s="28"/>
      <c r="O21" s="5"/>
    </row>
    <row r="22" spans="2:24" ht="19.5" customHeight="1">
      <c r="B22" s="8"/>
      <c r="G22" s="10"/>
      <c r="H22" s="10"/>
      <c r="I22" s="29"/>
      <c r="M22" s="29"/>
      <c r="N22" s="28"/>
      <c r="O22" s="5"/>
    </row>
    <row r="23" spans="2:24" ht="19.5" customHeight="1">
      <c r="B23" s="8"/>
      <c r="C23" s="27" t="s">
        <v>6</v>
      </c>
      <c r="D23" s="26">
        <v>2</v>
      </c>
      <c r="F23" s="25"/>
      <c r="G23" s="10"/>
      <c r="H23" s="10"/>
      <c r="O23" s="5"/>
      <c r="Q23" s="24" t="s">
        <v>5</v>
      </c>
      <c r="S23" s="23"/>
      <c r="T23" s="15"/>
      <c r="U23" s="15"/>
      <c r="V23" s="15"/>
      <c r="W23" s="15"/>
      <c r="X23" s="23"/>
    </row>
    <row r="24" spans="2:24" ht="19.5" customHeight="1">
      <c r="B24" s="8"/>
      <c r="C24" s="22"/>
      <c r="D24" s="22"/>
      <c r="E24" s="22"/>
      <c r="F24" s="22"/>
      <c r="G24" s="10"/>
      <c r="H24" s="10"/>
      <c r="O24" s="5"/>
      <c r="Q24" s="21" t="s">
        <v>4</v>
      </c>
    </row>
    <row r="25" spans="2:24" ht="19.5" customHeight="1">
      <c r="B25" s="8"/>
      <c r="C25" s="2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5"/>
    </row>
    <row r="26" spans="2:24" ht="19.5" customHeight="1">
      <c r="B26" s="8"/>
      <c r="C26" s="16" t="str">
        <f>IF($D$23=1,"This model now has the circularity turned on. Please confirm the Excel settings below","")</f>
        <v/>
      </c>
      <c r="D26" s="19"/>
      <c r="E26" s="19"/>
      <c r="F26" s="10"/>
      <c r="G26" s="10"/>
      <c r="H26" s="10"/>
      <c r="I26" s="10"/>
      <c r="J26" s="10"/>
      <c r="K26" s="10"/>
      <c r="L26" s="10"/>
      <c r="M26" s="10"/>
      <c r="N26" s="10"/>
      <c r="O26" s="5"/>
      <c r="Q26" s="18" t="s">
        <v>3</v>
      </c>
    </row>
    <row r="27" spans="2:24" ht="19.5" customHeight="1">
      <c r="B27" s="8"/>
      <c r="C27" s="16" t="str">
        <f>IF($D$23=1,"PC","")</f>
        <v/>
      </c>
      <c r="D27" s="15" t="str">
        <f>IF($D$23=1,"File - Options - Formulas - Check the box on the top-right labeled 'Enable iterative calculation'.","")</f>
        <v/>
      </c>
      <c r="E27" s="14"/>
      <c r="F27" s="10"/>
      <c r="G27" s="10"/>
      <c r="H27" s="10"/>
      <c r="I27" s="10"/>
      <c r="J27" s="10"/>
      <c r="K27" s="10"/>
      <c r="L27" s="10"/>
      <c r="M27" s="10"/>
      <c r="N27" s="10"/>
      <c r="O27" s="5"/>
      <c r="Q27" s="17" t="s">
        <v>2</v>
      </c>
    </row>
    <row r="28" spans="2:24" ht="19.5" customHeight="1">
      <c r="B28" s="8"/>
      <c r="C28" s="16" t="str">
        <f>IF($D$23=1,"Mac","")</f>
        <v/>
      </c>
      <c r="D28" s="15" t="str">
        <f>IF($D$23=1,"Excel - Preferences - Calculation - Check the box near the bottom labeled 'Use iterative calculation'.","")</f>
        <v/>
      </c>
      <c r="E28" s="14"/>
      <c r="F28" s="10"/>
      <c r="G28" s="10"/>
      <c r="H28" s="10"/>
      <c r="I28" s="10"/>
      <c r="J28" s="10"/>
      <c r="K28" s="10"/>
      <c r="L28" s="10"/>
      <c r="M28" s="10"/>
      <c r="N28" s="10"/>
      <c r="O28" s="5"/>
      <c r="Q28" s="13" t="s">
        <v>1</v>
      </c>
    </row>
    <row r="29" spans="2:24" ht="19.5" customHeight="1">
      <c r="B29" s="8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5"/>
      <c r="Q29" s="12"/>
    </row>
    <row r="30" spans="2:24" ht="19.5" customHeight="1">
      <c r="B30" s="8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5"/>
    </row>
    <row r="31" spans="2:24" ht="19.5" customHeight="1">
      <c r="B31" s="8"/>
      <c r="C31" s="400" t="s">
        <v>213</v>
      </c>
      <c r="D31" s="402"/>
      <c r="E31" s="402"/>
      <c r="F31" s="402"/>
      <c r="G31" s="402"/>
      <c r="H31" s="9"/>
      <c r="I31" s="9"/>
      <c r="J31" s="9"/>
      <c r="K31" s="9"/>
      <c r="L31" s="9"/>
      <c r="M31" s="9"/>
      <c r="N31" s="9"/>
      <c r="O31" s="5"/>
    </row>
    <row r="32" spans="2:24" ht="19.5" customHeight="1">
      <c r="B32" s="8"/>
      <c r="C32" s="403" t="s">
        <v>214</v>
      </c>
      <c r="D32" s="401"/>
      <c r="E32" s="401"/>
      <c r="F32" s="401"/>
      <c r="G32" s="401"/>
      <c r="H32" s="6"/>
      <c r="I32" s="6"/>
      <c r="J32" s="6"/>
      <c r="K32" s="6"/>
      <c r="L32" s="6"/>
      <c r="M32" s="6"/>
      <c r="N32" s="6"/>
      <c r="O32" s="5"/>
    </row>
    <row r="33" spans="2:16" ht="19.5" customHeight="1">
      <c r="B33" s="8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5"/>
    </row>
    <row r="34" spans="2:16" ht="19.5" customHeight="1">
      <c r="B34" s="8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5"/>
    </row>
    <row r="35" spans="2:16" ht="19.5" customHeight="1">
      <c r="B35" s="8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</row>
    <row r="36" spans="2:16" ht="19.5" customHeight="1">
      <c r="B36" s="8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5"/>
    </row>
    <row r="37" spans="2:16" ht="19.5" customHeight="1">
      <c r="B37" s="8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5"/>
    </row>
    <row r="38" spans="2:16" ht="19.5" customHeight="1">
      <c r="B38" s="8"/>
      <c r="C38" s="7"/>
      <c r="D38" s="6"/>
      <c r="E38" s="6"/>
      <c r="F38" s="6"/>
      <c r="G38" s="6"/>
      <c r="H38" s="400" t="s">
        <v>211</v>
      </c>
      <c r="I38" s="6"/>
      <c r="J38" s="6"/>
      <c r="K38" s="6"/>
      <c r="L38" s="6"/>
      <c r="M38" s="400" t="s">
        <v>212</v>
      </c>
      <c r="N38" s="6"/>
      <c r="O38" s="5"/>
    </row>
    <row r="39" spans="2:16" ht="19.5" customHeight="1" thickBot="1"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2" t="s">
        <v>0</v>
      </c>
    </row>
    <row r="40" spans="2:16" ht="19.5" customHeight="1" thickTop="1">
      <c r="P40" s="1" t="s">
        <v>0</v>
      </c>
    </row>
  </sheetData>
  <conditionalFormatting sqref="N16:N18">
    <cfRule type="expression" dxfId="16" priority="1">
      <formula>N16=1</formula>
    </cfRule>
  </conditionalFormatting>
  <hyperlinks>
    <hyperlink ref="C16" location="Outputs!A1" tooltip="Outputs" display="Outputs" xr:uid="{F1095BB1-5C8A-4C2C-B675-916EECBF7A16}"/>
    <hyperlink ref="C17:C18" location="Model!A1" display="Cover" xr:uid="{05458CD8-7ACE-4258-814E-25B1E35BA783}"/>
    <hyperlink ref="C17" location="Inputs!A1" tooltip="Inputs" display="Inputs" xr:uid="{DE659368-A369-4D03-98C0-32C7FE33F204}"/>
    <hyperlink ref="C18" location="Model!A1" tooltip="Model" display="Model" xr:uid="{429E8431-BB9A-4667-9BF0-1BCE4F6D1B05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 siz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0167-2898-4BD5-8216-66C79BE93F27}">
  <sheetPr>
    <pageSetUpPr autoPageBreaks="0" fitToPage="1"/>
  </sheetPr>
  <dimension ref="A1:R50"/>
  <sheetViews>
    <sheetView showGridLines="0" zoomScale="61" zoomScaleNormal="100" zoomScaleSheetLayoutView="100" workbookViewId="0">
      <pane ySplit="1" topLeftCell="A2" activePane="bottomLeft" state="frozen"/>
      <selection activeCell="F24" sqref="F24"/>
      <selection pane="bottomLeft"/>
    </sheetView>
  </sheetViews>
  <sheetFormatPr defaultColWidth="9.1796875" defaultRowHeight="16.5" outlineLevelRow="1"/>
  <cols>
    <col min="1" max="1" width="9.1796875" style="57"/>
    <col min="2" max="2" width="1.7265625" style="57" customWidth="1"/>
    <col min="3" max="3" width="12.81640625" style="57" customWidth="1"/>
    <col min="4" max="6" width="11.81640625" style="57" customWidth="1"/>
    <col min="7" max="7" width="12.26953125" style="57" customWidth="1"/>
    <col min="8" max="15" width="11.81640625" style="57" customWidth="1"/>
    <col min="16" max="16" width="1.7265625" style="57" customWidth="1"/>
    <col min="17" max="18" width="12.26953125" style="57" customWidth="1"/>
    <col min="19" max="16384" width="9.1796875" style="57"/>
  </cols>
  <sheetData>
    <row r="1" spans="1:18" ht="34" customHeight="1">
      <c r="A1" s="60"/>
      <c r="B1" s="99"/>
      <c r="C1" s="399" t="s">
        <v>210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8" ht="15" customHeight="1"/>
    <row r="3" spans="1:18" ht="15" customHeight="1">
      <c r="B3" s="98" t="s">
        <v>29</v>
      </c>
      <c r="C3" s="97"/>
      <c r="D3" s="97"/>
      <c r="E3" s="96"/>
      <c r="F3" s="96"/>
      <c r="G3" s="95"/>
      <c r="H3" s="95"/>
      <c r="I3" s="95"/>
      <c r="J3" s="95"/>
      <c r="K3" s="95"/>
      <c r="L3" s="95"/>
      <c r="M3" s="95"/>
      <c r="N3" s="95"/>
      <c r="O3" s="95"/>
    </row>
    <row r="4" spans="1:18" ht="15" customHeight="1" outlineLevel="1"/>
    <row r="5" spans="1:18" ht="15" customHeight="1" outlineLevel="1" thickBot="1">
      <c r="B5" s="94" t="s">
        <v>28</v>
      </c>
      <c r="D5" s="93"/>
      <c r="E5" s="92"/>
      <c r="F5" s="92"/>
      <c r="G5" s="91"/>
      <c r="H5" s="90">
        <f>I5-1</f>
        <v>2020</v>
      </c>
      <c r="I5" s="90">
        <f>J5-1</f>
        <v>2021</v>
      </c>
      <c r="J5" s="90">
        <f>K5-1</f>
        <v>2022</v>
      </c>
      <c r="K5" s="89">
        <f>Inputs!$F$52</f>
        <v>2023</v>
      </c>
      <c r="L5" s="89">
        <f>K5+1</f>
        <v>2024</v>
      </c>
      <c r="M5" s="89">
        <f>L5+1</f>
        <v>2025</v>
      </c>
      <c r="N5" s="89">
        <f>M5+1</f>
        <v>2026</v>
      </c>
      <c r="O5" s="89">
        <f>N5+1</f>
        <v>2027</v>
      </c>
    </row>
    <row r="6" spans="1:18" ht="15" customHeight="1" outlineLevel="1">
      <c r="B6" s="33"/>
      <c r="C6" s="88"/>
      <c r="D6" s="33"/>
      <c r="E6" s="79"/>
      <c r="F6" s="79"/>
      <c r="G6" s="79"/>
      <c r="H6" s="87"/>
      <c r="I6" s="87"/>
      <c r="J6" s="87"/>
      <c r="K6" s="87"/>
      <c r="L6" s="87"/>
      <c r="M6" s="86"/>
      <c r="N6" s="85"/>
      <c r="O6" s="84"/>
    </row>
    <row r="7" spans="1:18" ht="15" customHeight="1" outlineLevel="1">
      <c r="B7" s="83" t="s">
        <v>27</v>
      </c>
      <c r="C7" s="33"/>
      <c r="D7" s="33"/>
      <c r="E7" s="82"/>
      <c r="F7" s="79"/>
      <c r="G7" s="79"/>
      <c r="H7" s="79"/>
      <c r="I7" s="79"/>
      <c r="J7" s="79"/>
      <c r="K7" s="79"/>
      <c r="L7" s="79"/>
      <c r="M7" s="81"/>
      <c r="N7" s="80"/>
      <c r="O7" s="33"/>
      <c r="Q7" s="23"/>
    </row>
    <row r="8" spans="1:18" s="59" customFormat="1" ht="15" customHeight="1" outlineLevel="1">
      <c r="A8" s="61"/>
      <c r="B8" s="33"/>
      <c r="C8" s="33"/>
      <c r="D8" s="79"/>
      <c r="E8" s="79"/>
      <c r="F8" s="79"/>
      <c r="G8" s="70"/>
      <c r="H8" s="70"/>
      <c r="I8" s="70"/>
      <c r="J8" s="70"/>
      <c r="K8" s="70"/>
      <c r="L8" s="70"/>
      <c r="M8" s="70"/>
      <c r="N8" s="70"/>
      <c r="O8" s="70"/>
      <c r="P8" s="70"/>
      <c r="Q8" s="57"/>
      <c r="R8" s="61"/>
    </row>
    <row r="9" spans="1:18" s="59" customFormat="1" ht="15" customHeight="1" outlineLevel="1">
      <c r="A9" s="61"/>
      <c r="B9" s="61"/>
      <c r="C9" s="74" t="s">
        <v>17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70"/>
      <c r="Q9" s="57"/>
      <c r="R9" s="61"/>
    </row>
    <row r="10" spans="1:18" s="59" customFormat="1" ht="6" customHeight="1" outlineLevel="1">
      <c r="A10" s="61"/>
      <c r="B10" s="61"/>
      <c r="C10" s="74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70"/>
      <c r="Q10" s="57"/>
      <c r="R10" s="61"/>
    </row>
    <row r="11" spans="1:18" s="59" customFormat="1" ht="15" customHeight="1" outlineLevel="1">
      <c r="A11" s="61"/>
      <c r="B11" s="61"/>
      <c r="C11" s="72" t="s">
        <v>26</v>
      </c>
      <c r="D11" s="61"/>
      <c r="E11" s="61"/>
      <c r="F11" s="61"/>
      <c r="G11" s="61"/>
      <c r="H11" s="71">
        <f>Model!F11</f>
        <v>50589</v>
      </c>
      <c r="I11" s="71">
        <f>Model!G11</f>
        <v>51647.864999999998</v>
      </c>
      <c r="J11" s="71">
        <f>Model!H11</f>
        <v>53760.85</v>
      </c>
      <c r="K11" s="71">
        <f>Model!I11</f>
        <v>57311.754142500002</v>
      </c>
      <c r="L11" s="71">
        <f>Model!J11</f>
        <v>59627.149009857007</v>
      </c>
      <c r="M11" s="71">
        <f>Model!K11</f>
        <v>62036.085829855227</v>
      </c>
      <c r="N11" s="71">
        <f>Model!L11</f>
        <v>64225.95965964911</v>
      </c>
      <c r="O11" s="71">
        <f>Model!M11</f>
        <v>66167.189290361988</v>
      </c>
      <c r="P11" s="70"/>
      <c r="Q11" s="57"/>
      <c r="R11" s="61"/>
    </row>
    <row r="12" spans="1:18" s="59" customFormat="1" ht="6" customHeight="1" outlineLevel="1">
      <c r="A12" s="61"/>
      <c r="B12" s="61"/>
      <c r="C12" s="72"/>
      <c r="D12" s="61"/>
      <c r="E12" s="61"/>
      <c r="F12" s="61"/>
      <c r="G12" s="61"/>
      <c r="H12" s="71"/>
      <c r="I12" s="71"/>
      <c r="J12" s="71"/>
      <c r="K12" s="71"/>
      <c r="L12" s="71"/>
      <c r="M12" s="71"/>
      <c r="N12" s="71"/>
      <c r="O12" s="71"/>
      <c r="P12" s="70"/>
      <c r="Q12" s="57"/>
      <c r="R12" s="61"/>
    </row>
    <row r="13" spans="1:18" s="59" customFormat="1" ht="15" customHeight="1" outlineLevel="1">
      <c r="A13" s="61"/>
      <c r="B13" s="61"/>
      <c r="C13" s="72" t="s">
        <v>25</v>
      </c>
      <c r="D13" s="61"/>
      <c r="E13" s="61"/>
      <c r="F13" s="61"/>
      <c r="G13" s="61"/>
      <c r="H13" s="71">
        <f>Model!F18</f>
        <v>18403.7</v>
      </c>
      <c r="I13" s="71">
        <f>Model!G18</f>
        <v>18606.850599999998</v>
      </c>
      <c r="J13" s="71">
        <f>Model!H18</f>
        <v>19811.448499999999</v>
      </c>
      <c r="K13" s="71">
        <f>Model!I18</f>
        <v>21999.579073425004</v>
      </c>
      <c r="L13" s="71">
        <f>Model!J18</f>
        <v>23132.15917028681</v>
      </c>
      <c r="M13" s="71">
        <f>Model!K18</f>
        <v>24316.550231042784</v>
      </c>
      <c r="N13" s="71">
        <f>Model!L18</f>
        <v>25461.737744639111</v>
      </c>
      <c r="O13" s="71">
        <f>Model!M18</f>
        <v>26328.05784747807</v>
      </c>
      <c r="P13" s="70"/>
      <c r="Q13" s="57"/>
      <c r="R13" s="61"/>
    </row>
    <row r="14" spans="1:18" s="59" customFormat="1" ht="15" customHeight="1" outlineLevel="1">
      <c r="A14" s="61"/>
      <c r="B14" s="61"/>
      <c r="C14" s="76" t="s">
        <v>24</v>
      </c>
      <c r="D14" s="61"/>
      <c r="E14" s="61"/>
      <c r="F14" s="61"/>
      <c r="G14" s="61"/>
      <c r="H14" s="78">
        <f t="shared" ref="H14:O14" si="0">H13/H11</f>
        <v>0.36378857063788572</v>
      </c>
      <c r="I14" s="78">
        <f t="shared" si="0"/>
        <v>0.36026369337822578</v>
      </c>
      <c r="J14" s="78">
        <f t="shared" si="0"/>
        <v>0.36851070063066338</v>
      </c>
      <c r="K14" s="78">
        <f t="shared" si="0"/>
        <v>0.38385806546289314</v>
      </c>
      <c r="L14" s="78">
        <f t="shared" si="0"/>
        <v>0.38794675838790843</v>
      </c>
      <c r="M14" s="78">
        <f t="shared" si="0"/>
        <v>0.39197428248028349</v>
      </c>
      <c r="N14" s="78">
        <f t="shared" si="0"/>
        <v>0.396439973486855</v>
      </c>
      <c r="O14" s="78">
        <f t="shared" si="0"/>
        <v>0.39790201351824772</v>
      </c>
      <c r="P14" s="70"/>
      <c r="Q14" s="69"/>
      <c r="R14" s="61"/>
    </row>
    <row r="15" spans="1:18" s="59" customFormat="1" ht="6" customHeight="1" outlineLevel="1">
      <c r="A15" s="61"/>
      <c r="B15" s="61"/>
      <c r="C15" s="76"/>
      <c r="D15" s="61"/>
      <c r="E15" s="61"/>
      <c r="F15" s="61"/>
      <c r="G15" s="61"/>
      <c r="H15" s="77"/>
      <c r="I15" s="77"/>
      <c r="J15" s="77"/>
      <c r="K15" s="77"/>
      <c r="L15" s="77"/>
      <c r="M15" s="77"/>
      <c r="N15" s="77"/>
      <c r="O15" s="77"/>
      <c r="P15" s="70"/>
      <c r="Q15" s="57"/>
      <c r="R15" s="61"/>
    </row>
    <row r="16" spans="1:18" s="59" customFormat="1" ht="15" customHeight="1" outlineLevel="1">
      <c r="A16" s="61"/>
      <c r="B16" s="61"/>
      <c r="C16" s="72" t="s">
        <v>23</v>
      </c>
      <c r="D16" s="61"/>
      <c r="E16" s="61"/>
      <c r="F16" s="61"/>
      <c r="G16" s="61"/>
      <c r="H16" s="71">
        <f>Model!F35</f>
        <v>10800.7</v>
      </c>
      <c r="I16" s="71">
        <f>Model!G35</f>
        <v>10529.850599999998</v>
      </c>
      <c r="J16" s="71">
        <f>Model!H35</f>
        <v>11190.448499999999</v>
      </c>
      <c r="K16" s="71">
        <f>Model!I35</f>
        <v>11001.019095097501</v>
      </c>
      <c r="L16" s="71">
        <f>Model!J35</f>
        <v>11224.596138406174</v>
      </c>
      <c r="M16" s="71">
        <f>Model!K35</f>
        <v>12136.852734251612</v>
      </c>
      <c r="N16" s="71">
        <f>Model!L35</f>
        <v>12919.395794102446</v>
      </c>
      <c r="O16" s="71">
        <f>Model!M35</f>
        <v>13484.270050445593</v>
      </c>
      <c r="P16" s="70"/>
      <c r="Q16" s="57"/>
      <c r="R16" s="61"/>
    </row>
    <row r="17" spans="1:18" s="59" customFormat="1" ht="15" customHeight="1" outlineLevel="1">
      <c r="A17" s="61"/>
      <c r="B17" s="61"/>
      <c r="C17" s="76" t="s">
        <v>22</v>
      </c>
      <c r="D17" s="61"/>
      <c r="E17" s="61"/>
      <c r="F17" s="61"/>
      <c r="G17" s="61"/>
      <c r="H17" s="75">
        <f t="shared" ref="H17:O17" si="1">H16/H11</f>
        <v>0.21349898199213269</v>
      </c>
      <c r="I17" s="75">
        <f t="shared" si="1"/>
        <v>0.2038777517715398</v>
      </c>
      <c r="J17" s="75">
        <f t="shared" si="1"/>
        <v>0.20815237296285305</v>
      </c>
      <c r="K17" s="75">
        <f t="shared" si="1"/>
        <v>0.19195048659206201</v>
      </c>
      <c r="L17" s="75">
        <f t="shared" si="1"/>
        <v>0.18824639991676656</v>
      </c>
      <c r="M17" s="75">
        <f t="shared" si="1"/>
        <v>0.19564181994878022</v>
      </c>
      <c r="N17" s="75">
        <f t="shared" si="1"/>
        <v>0.20115535622302649</v>
      </c>
      <c r="O17" s="75">
        <f t="shared" si="1"/>
        <v>0.20379088480353105</v>
      </c>
      <c r="P17" s="70"/>
      <c r="Q17" s="69"/>
      <c r="R17" s="61"/>
    </row>
    <row r="18" spans="1:18" s="59" customFormat="1" ht="15" customHeight="1" outlineLevel="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70"/>
      <c r="Q18" s="57"/>
      <c r="R18" s="61"/>
    </row>
    <row r="19" spans="1:18" s="59" customFormat="1" ht="15" customHeight="1" outlineLevel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70"/>
      <c r="Q19" s="57"/>
      <c r="R19" s="61"/>
    </row>
    <row r="20" spans="1:18" s="59" customFormat="1" ht="15" customHeight="1" outlineLevel="1">
      <c r="A20" s="61"/>
      <c r="B20" s="61"/>
      <c r="C20" s="74" t="s">
        <v>16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70"/>
      <c r="Q20" s="57"/>
      <c r="R20" s="61"/>
    </row>
    <row r="21" spans="1:18" s="59" customFormat="1" ht="6" customHeight="1" outlineLevel="1">
      <c r="A21" s="61"/>
      <c r="B21" s="61"/>
      <c r="C21" s="74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70"/>
      <c r="Q21" s="57"/>
      <c r="R21" s="61"/>
    </row>
    <row r="22" spans="1:18" s="59" customFormat="1" ht="15" customHeight="1" outlineLevel="1">
      <c r="A22" s="61"/>
      <c r="B22" s="61"/>
      <c r="C22" s="72" t="s">
        <v>21</v>
      </c>
      <c r="D22" s="61"/>
      <c r="E22" s="61"/>
      <c r="F22" s="61"/>
      <c r="G22" s="61"/>
      <c r="H22" s="71">
        <f>Model!F52</f>
        <v>15655.7</v>
      </c>
      <c r="I22" s="71">
        <f>Model!G52</f>
        <v>16011.850599999998</v>
      </c>
      <c r="J22" s="71">
        <f>Model!H52</f>
        <v>17391.448499999999</v>
      </c>
      <c r="K22" s="71">
        <f>Model!I52</f>
        <v>17133.518124888258</v>
      </c>
      <c r="L22" s="71">
        <f>Model!J52</f>
        <v>17796.57217957429</v>
      </c>
      <c r="M22" s="71">
        <f>Model!K52</f>
        <v>18830.350311241236</v>
      </c>
      <c r="N22" s="71">
        <f>Model!L52</f>
        <v>19798.191209659948</v>
      </c>
      <c r="O22" s="71">
        <f>Model!M52</f>
        <v>20593.70566388921</v>
      </c>
      <c r="P22" s="70"/>
      <c r="Q22" s="57"/>
      <c r="R22" s="61"/>
    </row>
    <row r="23" spans="1:18" s="59" customFormat="1" ht="15" customHeight="1" outlineLevel="1">
      <c r="A23" s="61"/>
      <c r="B23" s="61"/>
      <c r="C23" s="72" t="s">
        <v>20</v>
      </c>
      <c r="D23" s="61"/>
      <c r="E23" s="61"/>
      <c r="F23" s="61"/>
      <c r="G23" s="61"/>
      <c r="H23" s="71">
        <f>Model!F57</f>
        <v>-9014.9999999999927</v>
      </c>
      <c r="I23" s="71">
        <f>Model!G57</f>
        <v>-11733.000000000005</v>
      </c>
      <c r="J23" s="71">
        <f>Model!H57</f>
        <v>-11130</v>
      </c>
      <c r="K23" s="71">
        <f>Model!I57</f>
        <v>-23000</v>
      </c>
      <c r="L23" s="71">
        <f>Model!J57</f>
        <v>-6450</v>
      </c>
      <c r="M23" s="71">
        <f>Model!K57</f>
        <v>-6600</v>
      </c>
      <c r="N23" s="71">
        <f>Model!L57</f>
        <v>-6900</v>
      </c>
      <c r="O23" s="71">
        <f>Model!M57</f>
        <v>-7200</v>
      </c>
      <c r="P23" s="70"/>
      <c r="Q23" s="57"/>
      <c r="R23" s="61"/>
    </row>
    <row r="24" spans="1:18" s="59" customFormat="1" ht="15" customHeight="1" outlineLevel="1">
      <c r="A24" s="61"/>
      <c r="B24" s="61"/>
      <c r="C24" s="72" t="s">
        <v>19</v>
      </c>
      <c r="D24" s="61"/>
      <c r="E24" s="61"/>
      <c r="F24" s="61"/>
      <c r="G24" s="61"/>
      <c r="H24" s="73">
        <f>Model!F65</f>
        <v>-3465</v>
      </c>
      <c r="I24" s="73">
        <f>Model!G65</f>
        <v>-7761</v>
      </c>
      <c r="J24" s="73">
        <f>Model!H65</f>
        <v>-7216</v>
      </c>
      <c r="K24" s="73">
        <f>Model!I65</f>
        <v>-2543.5172248882595</v>
      </c>
      <c r="L24" s="73">
        <f>Model!J65</f>
        <v>-11346.57217957429</v>
      </c>
      <c r="M24" s="73">
        <f>Model!K65</f>
        <v>-7982.4041890885092</v>
      </c>
      <c r="N24" s="73">
        <f>Model!L65</f>
        <v>-7583.8791588204895</v>
      </c>
      <c r="O24" s="73">
        <f>Model!M65</f>
        <v>-7696.8540100891187</v>
      </c>
      <c r="P24" s="70"/>
      <c r="Q24" s="57"/>
      <c r="R24" s="61"/>
    </row>
    <row r="25" spans="1:18" s="59" customFormat="1" ht="15" customHeight="1" outlineLevel="1">
      <c r="A25" s="61"/>
      <c r="B25" s="61"/>
      <c r="C25" s="72" t="s">
        <v>18</v>
      </c>
      <c r="D25" s="61"/>
      <c r="E25" s="61"/>
      <c r="F25" s="61"/>
      <c r="G25" s="61"/>
      <c r="H25" s="71">
        <f t="shared" ref="H25:O25" si="2">SUM(H22:H24)</f>
        <v>3175.700000000008</v>
      </c>
      <c r="I25" s="71">
        <f t="shared" si="2"/>
        <v>-3482.1494000000075</v>
      </c>
      <c r="J25" s="71">
        <f t="shared" si="2"/>
        <v>-954.5515000000014</v>
      </c>
      <c r="K25" s="71">
        <f t="shared" si="2"/>
        <v>-8409.9991000000009</v>
      </c>
      <c r="L25" s="71">
        <f t="shared" si="2"/>
        <v>0</v>
      </c>
      <c r="M25" s="71">
        <f t="shared" si="2"/>
        <v>4247.9461221527272</v>
      </c>
      <c r="N25" s="71">
        <f t="shared" si="2"/>
        <v>5314.3120508394586</v>
      </c>
      <c r="O25" s="71">
        <f t="shared" si="2"/>
        <v>5696.8516538000913</v>
      </c>
      <c r="P25" s="70"/>
      <c r="Q25" s="69"/>
      <c r="R25" s="61"/>
    </row>
    <row r="26" spans="1:18" s="59" customFormat="1" ht="15" customHeight="1" outlineLevel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57"/>
      <c r="R26" s="61"/>
    </row>
    <row r="27" spans="1:18" s="59" customFormat="1" outlineLevel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57"/>
      <c r="R27" s="61"/>
    </row>
    <row r="28" spans="1:18" s="59" customFormat="1" outlineLevel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57"/>
      <c r="R28" s="61"/>
    </row>
    <row r="29" spans="1:18" s="63" customFormat="1" outlineLevel="1">
      <c r="A29" s="64"/>
      <c r="B29" s="64"/>
      <c r="C29" s="66" t="s">
        <v>17</v>
      </c>
      <c r="D29" s="66"/>
      <c r="E29" s="66"/>
      <c r="F29" s="68"/>
      <c r="G29" s="67"/>
      <c r="H29" s="65"/>
      <c r="J29" s="66" t="s">
        <v>16</v>
      </c>
      <c r="K29" s="66"/>
      <c r="L29" s="66"/>
      <c r="M29" s="66"/>
      <c r="N29" s="65"/>
      <c r="O29" s="65"/>
      <c r="P29" s="64"/>
      <c r="Q29" s="57"/>
      <c r="R29" s="64"/>
    </row>
    <row r="30" spans="1:18" s="59" customFormat="1" outlineLevel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57"/>
      <c r="R30" s="61"/>
    </row>
    <row r="31" spans="1:18" s="59" customFormat="1" outlineLevel="1">
      <c r="A31" s="61"/>
      <c r="B31" s="61"/>
      <c r="C31" s="61"/>
      <c r="D31" s="61"/>
      <c r="E31" s="61"/>
      <c r="F31" s="61"/>
      <c r="G31" s="61"/>
      <c r="H31" s="61"/>
      <c r="I31" s="61"/>
      <c r="L31" s="61"/>
      <c r="M31" s="61"/>
      <c r="N31" s="61"/>
      <c r="O31" s="61"/>
      <c r="P31" s="61"/>
      <c r="Q31" s="57"/>
      <c r="R31" s="61"/>
    </row>
    <row r="32" spans="1:18" s="59" customFormat="1" outlineLevel="1">
      <c r="A32" s="61"/>
      <c r="B32" s="61"/>
      <c r="C32" s="61"/>
      <c r="D32" s="61"/>
      <c r="E32" s="61"/>
      <c r="F32" s="61"/>
      <c r="G32" s="61"/>
      <c r="H32" s="61"/>
      <c r="I32" s="62"/>
      <c r="J32" s="61"/>
      <c r="K32" s="61"/>
      <c r="L32" s="61"/>
      <c r="M32" s="61"/>
      <c r="N32" s="61"/>
      <c r="O32" s="61"/>
      <c r="P32" s="61"/>
      <c r="Q32" s="57"/>
      <c r="R32" s="61"/>
    </row>
    <row r="33" spans="1:18" s="59" customFormat="1" outlineLevel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57"/>
      <c r="R33" s="61"/>
    </row>
    <row r="34" spans="1:18" s="59" customFormat="1" outlineLevel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57"/>
      <c r="R34" s="61"/>
    </row>
    <row r="35" spans="1:18" s="59" customFormat="1" outlineLevel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57"/>
      <c r="R35" s="61"/>
    </row>
    <row r="36" spans="1:18" s="59" customFormat="1" outlineLevel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57"/>
      <c r="R36" s="61"/>
    </row>
    <row r="37" spans="1:18" s="59" customFormat="1" outlineLevel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57"/>
      <c r="R37" s="61"/>
    </row>
    <row r="38" spans="1:18" s="59" customFormat="1" outlineLevel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57"/>
      <c r="R38" s="61"/>
    </row>
    <row r="39" spans="1:18" s="59" customFormat="1" outlineLevel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57"/>
      <c r="R39" s="61"/>
    </row>
    <row r="40" spans="1:18" s="59" customFormat="1" outlineLevel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57"/>
      <c r="R40" s="61"/>
    </row>
    <row r="41" spans="1:18" s="59" customFormat="1" outlineLevel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57"/>
      <c r="R41" s="61"/>
    </row>
    <row r="42" spans="1:18" s="59" customFormat="1" outlineLevel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57"/>
      <c r="R42" s="61"/>
    </row>
    <row r="43" spans="1:18" s="59" customFormat="1" outlineLevel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57"/>
      <c r="R43" s="61"/>
    </row>
    <row r="44" spans="1:18" s="59" customFormat="1" ht="16.5" customHeight="1" outlineLevel="1">
      <c r="A44" s="61"/>
      <c r="B44" s="61"/>
      <c r="C44" s="61"/>
      <c r="D44" s="62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57"/>
      <c r="R44" s="61"/>
    </row>
    <row r="45" spans="1:18" s="59" customFormat="1" outlineLevel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57"/>
      <c r="R45" s="61"/>
    </row>
    <row r="46" spans="1:18" s="59" customFormat="1" outlineLevel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57"/>
      <c r="R46" s="61"/>
    </row>
    <row r="47" spans="1:18" s="59" customFormat="1" outlineLevel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57"/>
      <c r="R47" s="61"/>
    </row>
    <row r="48" spans="1:18" s="59" customFormat="1" outlineLevel="1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57"/>
      <c r="R48" s="60"/>
    </row>
    <row r="49" spans="2:15" outlineLevel="1"/>
    <row r="50" spans="2:15" outlineLevel="1"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 t="s">
        <v>0</v>
      </c>
    </row>
  </sheetData>
  <conditionalFormatting sqref="H6:O7">
    <cfRule type="containsText" dxfId="15" priority="1" operator="containsText" text="OK">
      <formula>NOT(ISERROR(SEARCH("OK",H6)))</formula>
    </cfRule>
    <cfRule type="containsText" dxfId="14" priority="2" operator="containsText" text="ERROR">
      <formula>NOT(ISERROR(SEARCH("ERROR",H6)))</formula>
    </cfRule>
  </conditionalFormatting>
  <printOptions horizontalCentered="1"/>
  <pageMargins left="0.11811023622047245" right="0.11811023622047245" top="0.11811023622047245" bottom="0.11811023622047245" header="0.11811023622047245" footer="0.11811023622047245"/>
  <pageSetup scale="84" orientation="landscape" r:id="rId1"/>
  <headerFooter alignWithMargins="0">
    <oddFooter>&amp;L&amp;"Open Sans,Bold"&amp;10 &amp;K0020603-Statement Modeling&amp;C&amp;"Open Sans,Bold"&amp;10&amp;K002060Page &amp;P of &amp;N&amp;R&amp;"Open Sans,Bold"&amp;10&amp;K08-048Prepared By: Sanjeeb Bhatta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 sizeWithCells="1">
                  <from>
                    <xdr:col>3</xdr:col>
                    <xdr:colOff>488950</xdr:colOff>
                    <xdr:row>6</xdr:row>
                    <xdr:rowOff>0</xdr:rowOff>
                  </from>
                  <to>
                    <xdr:col>5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2164-82C4-420E-BE9D-8A31AE745D0E}">
  <sheetPr>
    <pageSetUpPr autoPageBreaks="0"/>
  </sheetPr>
  <dimension ref="A1:N67"/>
  <sheetViews>
    <sheetView showGridLines="0" zoomScale="73" zoomScaleNormal="100" zoomScaleSheetLayoutView="95" workbookViewId="0">
      <pane ySplit="1" topLeftCell="A2" activePane="bottomLeft" state="frozen"/>
      <selection activeCell="F24" sqref="F24"/>
      <selection pane="bottomLeft" activeCell="C1" sqref="C1"/>
    </sheetView>
  </sheetViews>
  <sheetFormatPr defaultColWidth="9.1796875" defaultRowHeight="15" customHeight="1" outlineLevelRow="1"/>
  <cols>
    <col min="1" max="1" width="9.1796875" style="57"/>
    <col min="2" max="2" width="1.7265625" style="57" customWidth="1"/>
    <col min="3" max="3" width="12.81640625" style="57" customWidth="1"/>
    <col min="4" max="6" width="11.81640625" style="57" customWidth="1"/>
    <col min="7" max="7" width="12.26953125" style="57" bestFit="1" customWidth="1"/>
    <col min="8" max="12" width="11.81640625" style="57" customWidth="1"/>
    <col min="13" max="13" width="1.7265625" style="57" customWidth="1"/>
    <col min="14" max="16384" width="9.1796875" style="57"/>
  </cols>
  <sheetData>
    <row r="1" spans="1:14" ht="31.5" customHeight="1">
      <c r="A1" s="60"/>
      <c r="B1" s="99"/>
      <c r="C1" s="399" t="s">
        <v>210</v>
      </c>
      <c r="D1" s="99"/>
      <c r="E1" s="99"/>
      <c r="F1" s="99"/>
      <c r="G1" s="99"/>
      <c r="H1" s="99"/>
      <c r="I1" s="99"/>
      <c r="J1" s="99"/>
      <c r="K1" s="99"/>
      <c r="L1" s="99"/>
    </row>
    <row r="2" spans="1:14" ht="15" customHeight="1">
      <c r="A2" s="113"/>
      <c r="B2" s="113"/>
      <c r="C2" s="113"/>
      <c r="D2" s="153"/>
      <c r="E2" s="153"/>
      <c r="F2" s="153"/>
      <c r="G2" s="153"/>
      <c r="H2" s="152"/>
      <c r="I2" s="151"/>
      <c r="J2" s="151"/>
      <c r="K2" s="151"/>
      <c r="L2" s="151"/>
    </row>
    <row r="3" spans="1:14" ht="15" customHeight="1">
      <c r="A3" s="113" t="s">
        <v>0</v>
      </c>
      <c r="B3" s="98" t="s">
        <v>70</v>
      </c>
      <c r="C3" s="97"/>
      <c r="D3" s="97"/>
      <c r="E3" s="97"/>
      <c r="F3" s="97"/>
      <c r="G3" s="96"/>
      <c r="H3" s="95"/>
      <c r="I3" s="95"/>
      <c r="J3" s="95"/>
      <c r="K3" s="95"/>
      <c r="L3" s="95"/>
      <c r="M3" s="193"/>
    </row>
    <row r="4" spans="1:14" ht="15" customHeight="1" outlineLevel="1">
      <c r="A4" s="113"/>
      <c r="B4" s="192"/>
      <c r="D4" s="93"/>
      <c r="E4" s="191"/>
      <c r="F4" s="191"/>
      <c r="G4" s="190"/>
      <c r="H4" s="190"/>
      <c r="I4" s="190"/>
      <c r="J4" s="190"/>
      <c r="K4" s="190"/>
      <c r="L4" s="190"/>
      <c r="M4" s="190"/>
    </row>
    <row r="5" spans="1:14" ht="15" customHeight="1" outlineLevel="1" thickBot="1">
      <c r="A5" s="113"/>
      <c r="B5" s="94" t="s">
        <v>28</v>
      </c>
      <c r="D5" s="93"/>
      <c r="E5" s="92"/>
      <c r="F5" s="92"/>
      <c r="G5" s="91"/>
      <c r="H5" s="150">
        <f>Inputs!$F$52</f>
        <v>2023</v>
      </c>
      <c r="I5" s="150">
        <f>H5+1</f>
        <v>2024</v>
      </c>
      <c r="J5" s="150">
        <f>I5+1</f>
        <v>2025</v>
      </c>
      <c r="K5" s="150">
        <f>J5+1</f>
        <v>2026</v>
      </c>
      <c r="L5" s="150">
        <f>K5+1</f>
        <v>2027</v>
      </c>
    </row>
    <row r="6" spans="1:14" s="33" customFormat="1" ht="15" customHeight="1" outlineLevel="1">
      <c r="C6" s="88"/>
      <c r="E6" s="79"/>
      <c r="F6" s="79"/>
      <c r="G6" s="79"/>
      <c r="H6" s="79"/>
      <c r="I6" s="79"/>
      <c r="J6" s="81"/>
      <c r="K6" s="80"/>
      <c r="M6" s="57"/>
    </row>
    <row r="7" spans="1:14" s="33" customFormat="1" ht="15" customHeight="1" outlineLevel="1">
      <c r="B7" s="146" t="s">
        <v>27</v>
      </c>
      <c r="E7" s="189">
        <v>1</v>
      </c>
      <c r="F7" s="79"/>
      <c r="G7" s="79"/>
      <c r="H7" s="79"/>
      <c r="I7" s="79"/>
      <c r="J7" s="81"/>
      <c r="K7" s="80"/>
      <c r="N7" s="23"/>
    </row>
    <row r="8" spans="1:14" s="33" customFormat="1" ht="15" customHeight="1" outlineLevel="1">
      <c r="D8" s="79"/>
      <c r="E8" s="79"/>
      <c r="F8" s="79"/>
      <c r="G8" s="79"/>
      <c r="H8" s="79"/>
      <c r="I8" s="81"/>
      <c r="J8" s="80"/>
      <c r="M8" s="188"/>
    </row>
    <row r="9" spans="1:14" s="33" customFormat="1" ht="15" customHeight="1" outlineLevel="1">
      <c r="D9" s="79"/>
      <c r="E9" s="79"/>
      <c r="F9" s="79"/>
      <c r="G9" s="79"/>
      <c r="H9" s="79"/>
      <c r="I9" s="81"/>
      <c r="J9" s="80"/>
    </row>
    <row r="10" spans="1:14" s="33" customFormat="1" ht="15" customHeight="1" outlineLevel="1">
      <c r="B10" s="146" t="s">
        <v>69</v>
      </c>
      <c r="E10" s="187"/>
      <c r="F10" s="187"/>
      <c r="G10" s="187"/>
      <c r="H10" s="179" cm="1">
        <f t="array" ref="H10">INDEX(H12:H14,$E$7)</f>
        <v>0.03</v>
      </c>
      <c r="I10" s="178" cm="1">
        <f t="array" ref="I10">INDEX(I12:I14,$E$7)</f>
        <v>0.02</v>
      </c>
      <c r="J10" s="178" cm="1">
        <f t="array" ref="J10">INDEX(J12:J14,$E$7)</f>
        <v>0.02</v>
      </c>
      <c r="K10" s="178" cm="1">
        <f t="array" ref="K10">INDEX(K12:K14,$E$7)</f>
        <v>1.4999999999999999E-2</v>
      </c>
      <c r="L10" s="177" cm="1">
        <f t="array" ref="L10">INDEX(L12:L14,$E$7)</f>
        <v>1.4999999999999999E-2</v>
      </c>
      <c r="N10" s="69"/>
    </row>
    <row r="11" spans="1:14" s="33" customFormat="1" ht="15" customHeight="1" outlineLevel="1">
      <c r="D11" s="79"/>
      <c r="E11" s="79"/>
      <c r="F11" s="79"/>
      <c r="G11" s="79"/>
      <c r="H11" s="183"/>
      <c r="I11" s="186"/>
      <c r="J11" s="181"/>
      <c r="K11" s="180"/>
      <c r="L11" s="180"/>
    </row>
    <row r="12" spans="1:14" s="33" customFormat="1" ht="15" customHeight="1" outlineLevel="1">
      <c r="B12" s="184" t="s">
        <v>68</v>
      </c>
      <c r="D12" s="185"/>
      <c r="E12" s="79"/>
      <c r="F12" s="79"/>
      <c r="G12" s="79"/>
      <c r="H12" s="172">
        <v>0.03</v>
      </c>
      <c r="I12" s="171">
        <v>0.02</v>
      </c>
      <c r="J12" s="171">
        <v>0.02</v>
      </c>
      <c r="K12" s="171">
        <v>1.4999999999999999E-2</v>
      </c>
      <c r="L12" s="170">
        <v>1.4999999999999999E-2</v>
      </c>
    </row>
    <row r="13" spans="1:14" s="33" customFormat="1" ht="15" customHeight="1" outlineLevel="1">
      <c r="B13" s="184" t="s">
        <v>67</v>
      </c>
      <c r="D13" s="79"/>
      <c r="E13" s="79"/>
      <c r="F13" s="79"/>
      <c r="G13" s="79"/>
      <c r="H13" s="169">
        <v>0.02</v>
      </c>
      <c r="I13" s="168">
        <v>0.01</v>
      </c>
      <c r="J13" s="168">
        <v>0.01</v>
      </c>
      <c r="K13" s="168">
        <v>5.0000000000000001E-3</v>
      </c>
      <c r="L13" s="167">
        <v>5.0000000000000001E-3</v>
      </c>
    </row>
    <row r="14" spans="1:14" s="33" customFormat="1" ht="15" customHeight="1" outlineLevel="1">
      <c r="B14" s="184" t="s">
        <v>66</v>
      </c>
      <c r="D14" s="79"/>
      <c r="E14" s="79"/>
      <c r="F14" s="79"/>
      <c r="G14" s="79"/>
      <c r="H14" s="165">
        <v>0.01</v>
      </c>
      <c r="I14" s="164">
        <v>0.01</v>
      </c>
      <c r="J14" s="164">
        <v>5.0000000000000001E-3</v>
      </c>
      <c r="K14" s="164">
        <v>5.0000000000000001E-3</v>
      </c>
      <c r="L14" s="163">
        <v>5.0000000000000001E-3</v>
      </c>
    </row>
    <row r="15" spans="1:14" s="33" customFormat="1" ht="15" customHeight="1" outlineLevel="1">
      <c r="B15" s="88"/>
      <c r="D15" s="138"/>
      <c r="E15" s="138"/>
      <c r="F15" s="138"/>
      <c r="G15" s="138"/>
      <c r="H15" s="183"/>
      <c r="I15" s="182"/>
      <c r="J15" s="181"/>
      <c r="K15" s="180"/>
      <c r="L15" s="180"/>
    </row>
    <row r="16" spans="1:14" s="33" customFormat="1" ht="15" customHeight="1" outlineLevel="1">
      <c r="B16" s="88"/>
      <c r="D16" s="138"/>
      <c r="E16" s="138"/>
      <c r="F16" s="138"/>
      <c r="G16" s="138"/>
      <c r="H16" s="183"/>
      <c r="I16" s="182"/>
      <c r="J16" s="181"/>
      <c r="K16" s="180"/>
      <c r="L16" s="180"/>
    </row>
    <row r="17" spans="2:14" s="33" customFormat="1" ht="15" customHeight="1" outlineLevel="1">
      <c r="B17" s="146" t="s">
        <v>65</v>
      </c>
      <c r="D17" s="138"/>
      <c r="E17" s="138"/>
      <c r="F17" s="138"/>
      <c r="G17" s="138"/>
      <c r="H17" s="179" cm="1">
        <f t="array" ref="H17">INDEX(H19:H21,$E$7)</f>
        <v>3.5000000000000003E-2</v>
      </c>
      <c r="I17" s="178" cm="1">
        <f t="array" ref="I17">INDEX(I19:I21,$E$7)</f>
        <v>0.02</v>
      </c>
      <c r="J17" s="178" cm="1">
        <f t="array" ref="J17">INDEX(J19:J21,$E$7)</f>
        <v>0.02</v>
      </c>
      <c r="K17" s="178" cm="1">
        <f t="array" ref="K17">INDEX(K19:K21,$E$7)</f>
        <v>0.02</v>
      </c>
      <c r="L17" s="177" cm="1">
        <f t="array" ref="L17">INDEX(L19:L21,$E$7)</f>
        <v>1.4999999999999999E-2</v>
      </c>
      <c r="N17" s="69"/>
    </row>
    <row r="18" spans="2:14" s="33" customFormat="1" ht="15" customHeight="1" outlineLevel="1">
      <c r="B18" s="88"/>
      <c r="D18" s="138"/>
      <c r="E18" s="138"/>
      <c r="F18" s="138"/>
      <c r="G18" s="138"/>
      <c r="H18" s="176"/>
      <c r="I18" s="175"/>
      <c r="J18" s="174"/>
      <c r="K18" s="173"/>
      <c r="L18" s="173"/>
    </row>
    <row r="19" spans="2:14" s="33" customFormat="1" ht="15" customHeight="1" outlineLevel="1">
      <c r="B19" s="155" t="str">
        <f>$B$12</f>
        <v>Best Case</v>
      </c>
      <c r="D19" s="79"/>
      <c r="E19" s="79"/>
      <c r="F19" s="79"/>
      <c r="G19" s="79"/>
      <c r="H19" s="172">
        <v>3.5000000000000003E-2</v>
      </c>
      <c r="I19" s="171">
        <v>0.02</v>
      </c>
      <c r="J19" s="171">
        <v>0.02</v>
      </c>
      <c r="K19" s="171">
        <v>0.02</v>
      </c>
      <c r="L19" s="170">
        <v>1.4999999999999999E-2</v>
      </c>
    </row>
    <row r="20" spans="2:14" s="33" customFormat="1" ht="15" customHeight="1" outlineLevel="1">
      <c r="B20" s="155" t="str">
        <f>$B$13</f>
        <v>Base Case</v>
      </c>
      <c r="D20" s="79"/>
      <c r="E20" s="79"/>
      <c r="F20" s="79"/>
      <c r="G20" s="79"/>
      <c r="H20" s="169">
        <v>0.03</v>
      </c>
      <c r="I20" s="168">
        <v>0.01</v>
      </c>
      <c r="J20" s="168">
        <v>0.01</v>
      </c>
      <c r="K20" s="168">
        <v>0.01</v>
      </c>
      <c r="L20" s="167">
        <v>5.0000000000000001E-3</v>
      </c>
      <c r="M20" s="166"/>
    </row>
    <row r="21" spans="2:14" s="33" customFormat="1" ht="15" customHeight="1" outlineLevel="1">
      <c r="B21" s="155" t="str">
        <f>$B$14</f>
        <v>Worst Case</v>
      </c>
      <c r="D21" s="79"/>
      <c r="E21" s="79"/>
      <c r="F21" s="79"/>
      <c r="G21" s="79"/>
      <c r="H21" s="165">
        <v>0.01</v>
      </c>
      <c r="I21" s="164">
        <v>0.01</v>
      </c>
      <c r="J21" s="164">
        <v>5.0000000000000001E-3</v>
      </c>
      <c r="K21" s="164">
        <v>5.0000000000000001E-3</v>
      </c>
      <c r="L21" s="163">
        <v>5.0000000000000001E-3</v>
      </c>
    </row>
    <row r="22" spans="2:14" s="33" customFormat="1" ht="15" customHeight="1" outlineLevel="1">
      <c r="B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</row>
    <row r="23" spans="2:14" s="33" customFormat="1" ht="15" customHeight="1" outlineLevel="1">
      <c r="B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2:14" s="33" customFormat="1" ht="15" customHeight="1" outlineLevel="1">
      <c r="B24" s="146" t="s">
        <v>64</v>
      </c>
      <c r="D24" s="138"/>
      <c r="E24" s="138"/>
      <c r="F24" s="138"/>
      <c r="G24" s="138"/>
      <c r="H24" s="162" cm="1">
        <f t="array" ref="H24">INDEX(H26:H28,$E$7)</f>
        <v>23000</v>
      </c>
      <c r="I24" s="161" cm="1">
        <f t="array" ref="I24">INDEX(I26:I28,$E$7)</f>
        <v>6450</v>
      </c>
      <c r="J24" s="161" cm="1">
        <f t="array" ref="J24">INDEX(J26:J28,$E$7)</f>
        <v>6600</v>
      </c>
      <c r="K24" s="161" cm="1">
        <f t="array" ref="K24">INDEX(K26:K28,$E$7)</f>
        <v>6900</v>
      </c>
      <c r="L24" s="160" cm="1">
        <f t="array" ref="L24">INDEX(L26:L28,$E$7)</f>
        <v>7200</v>
      </c>
      <c r="M24" s="104"/>
      <c r="N24" s="69"/>
    </row>
    <row r="25" spans="2:14" s="33" customFormat="1" ht="15" customHeight="1" outlineLevel="1">
      <c r="B25" s="88"/>
      <c r="D25" s="138"/>
      <c r="E25" s="138"/>
      <c r="F25" s="138"/>
      <c r="G25" s="138"/>
      <c r="H25" s="159"/>
      <c r="I25" s="158"/>
      <c r="J25" s="157"/>
      <c r="K25" s="156"/>
      <c r="L25" s="156"/>
      <c r="M25" s="104"/>
    </row>
    <row r="26" spans="2:14" s="33" customFormat="1" ht="15" customHeight="1" outlineLevel="1">
      <c r="B26" s="155" t="str">
        <f>$B$12</f>
        <v>Best Case</v>
      </c>
      <c r="D26" s="79"/>
      <c r="E26" s="79"/>
      <c r="F26" s="138"/>
      <c r="G26" s="79"/>
      <c r="H26" s="149">
        <v>23000</v>
      </c>
      <c r="I26" s="148">
        <v>6450</v>
      </c>
      <c r="J26" s="148">
        <v>6600</v>
      </c>
      <c r="K26" s="148">
        <v>6900</v>
      </c>
      <c r="L26" s="147">
        <v>7200</v>
      </c>
      <c r="M26" s="104"/>
    </row>
    <row r="27" spans="2:14" s="33" customFormat="1" ht="15" customHeight="1" outlineLevel="1">
      <c r="B27" s="155" t="str">
        <f>$B$13</f>
        <v>Base Case</v>
      </c>
      <c r="D27" s="79"/>
      <c r="E27" s="79"/>
      <c r="F27" s="79"/>
      <c r="G27" s="79"/>
      <c r="H27" s="142">
        <v>25475</v>
      </c>
      <c r="I27" s="141">
        <v>7050</v>
      </c>
      <c r="J27" s="141">
        <v>7275</v>
      </c>
      <c r="K27" s="141">
        <v>7200</v>
      </c>
      <c r="L27" s="140">
        <v>7687.5</v>
      </c>
      <c r="M27" s="104"/>
    </row>
    <row r="28" spans="2:14" s="33" customFormat="1" ht="15" customHeight="1" outlineLevel="1">
      <c r="B28" s="155" t="str">
        <f>$B$14</f>
        <v>Worst Case</v>
      </c>
      <c r="D28" s="79"/>
      <c r="E28" s="79"/>
      <c r="F28" s="79"/>
      <c r="G28" s="79"/>
      <c r="H28" s="137">
        <v>27500</v>
      </c>
      <c r="I28" s="136">
        <v>7800</v>
      </c>
      <c r="J28" s="136">
        <v>8100</v>
      </c>
      <c r="K28" s="136">
        <v>8250</v>
      </c>
      <c r="L28" s="135">
        <v>8400</v>
      </c>
      <c r="M28" s="104"/>
    </row>
    <row r="29" spans="2:14" s="33" customFormat="1" ht="15" customHeight="1" outlineLevel="1">
      <c r="C29" s="88"/>
      <c r="D29" s="138"/>
      <c r="E29" s="138"/>
      <c r="F29" s="138"/>
      <c r="G29" s="138"/>
      <c r="H29" s="154"/>
      <c r="I29" s="154"/>
      <c r="J29" s="154"/>
      <c r="K29" s="154"/>
      <c r="L29" s="154"/>
      <c r="M29" s="104"/>
    </row>
    <row r="30" spans="2:14" s="33" customFormat="1" ht="15" customHeight="1" outlineLevel="1">
      <c r="C30" s="88"/>
      <c r="D30" s="138"/>
      <c r="E30" s="138"/>
      <c r="F30" s="138"/>
      <c r="G30" s="138"/>
      <c r="H30" s="154"/>
      <c r="I30" s="154"/>
      <c r="J30" s="154"/>
      <c r="K30" s="154"/>
      <c r="L30" s="154"/>
    </row>
    <row r="31" spans="2:14" s="33" customFormat="1" ht="15" customHeight="1" outlineLevel="1">
      <c r="B31" s="100"/>
      <c r="C31" s="102"/>
      <c r="D31" s="102"/>
      <c r="E31" s="102"/>
      <c r="F31" s="102"/>
      <c r="G31" s="102"/>
      <c r="H31" s="102"/>
      <c r="I31" s="101"/>
      <c r="J31" s="101"/>
      <c r="K31" s="101"/>
      <c r="L31" s="101"/>
      <c r="M31" s="100"/>
    </row>
    <row r="32" spans="2:14" s="33" customFormat="1" ht="15" customHeight="1">
      <c r="C32" s="79"/>
      <c r="D32" s="79"/>
      <c r="E32" s="79"/>
      <c r="F32" s="79"/>
      <c r="G32" s="79"/>
      <c r="H32" s="79"/>
      <c r="I32" s="103"/>
      <c r="J32" s="103"/>
      <c r="K32" s="103"/>
      <c r="L32" s="103"/>
    </row>
    <row r="33" spans="1:13" ht="15" customHeight="1">
      <c r="A33" s="113" t="s">
        <v>0</v>
      </c>
      <c r="B33" s="98" t="s">
        <v>63</v>
      </c>
      <c r="C33" s="97"/>
      <c r="D33" s="97"/>
      <c r="E33" s="96"/>
      <c r="F33" s="96"/>
      <c r="G33" s="95"/>
      <c r="H33" s="95"/>
      <c r="I33" s="95"/>
      <c r="J33" s="95"/>
      <c r="K33" s="95"/>
      <c r="L33" s="95"/>
    </row>
    <row r="34" spans="1:13" ht="15" customHeight="1" outlineLevel="1">
      <c r="A34" s="113"/>
      <c r="B34" s="94"/>
      <c r="D34" s="153"/>
      <c r="E34" s="153"/>
      <c r="F34" s="153"/>
      <c r="G34" s="153"/>
      <c r="H34" s="152"/>
      <c r="I34" s="151"/>
      <c r="J34" s="151"/>
      <c r="K34" s="151"/>
      <c r="L34" s="151"/>
    </row>
    <row r="35" spans="1:13" ht="15" customHeight="1" outlineLevel="1" thickBot="1">
      <c r="A35" s="113"/>
      <c r="B35" s="94" t="s">
        <v>28</v>
      </c>
      <c r="D35" s="93"/>
      <c r="E35" s="92"/>
      <c r="F35" s="92"/>
      <c r="G35" s="91"/>
      <c r="H35" s="150">
        <f>Inputs!$F$52</f>
        <v>2023</v>
      </c>
      <c r="I35" s="150">
        <f>H35+1</f>
        <v>2024</v>
      </c>
      <c r="J35" s="150">
        <f>I35+1</f>
        <v>2025</v>
      </c>
      <c r="K35" s="150">
        <f>J35+1</f>
        <v>2026</v>
      </c>
      <c r="L35" s="150">
        <f>K35+1</f>
        <v>2027</v>
      </c>
    </row>
    <row r="36" spans="1:13" s="33" customFormat="1" ht="15" customHeight="1" outlineLevel="1">
      <c r="C36" s="88"/>
      <c r="E36" s="79"/>
      <c r="F36" s="79"/>
      <c r="G36" s="79"/>
      <c r="H36" s="79"/>
      <c r="I36" s="79"/>
      <c r="J36" s="81"/>
      <c r="K36" s="80"/>
      <c r="M36" s="57"/>
    </row>
    <row r="37" spans="1:13" s="33" customFormat="1" ht="15" customHeight="1" outlineLevel="1">
      <c r="C37" s="88"/>
      <c r="E37" s="79"/>
      <c r="F37" s="79"/>
      <c r="G37" s="79"/>
      <c r="H37" s="79"/>
      <c r="I37" s="79"/>
      <c r="J37" s="81"/>
      <c r="K37" s="80"/>
      <c r="M37" s="57"/>
    </row>
    <row r="38" spans="1:13" s="33" customFormat="1" ht="15" customHeight="1" outlineLevel="1">
      <c r="B38" s="146" t="s">
        <v>62</v>
      </c>
      <c r="D38" s="104"/>
      <c r="E38" s="104"/>
      <c r="F38" s="104"/>
      <c r="G38" s="104"/>
      <c r="H38" s="104"/>
      <c r="I38" s="104"/>
      <c r="J38" s="104"/>
      <c r="K38" s="104"/>
      <c r="L38" s="104"/>
      <c r="M38" s="104"/>
    </row>
    <row r="39" spans="1:13" s="33" customFormat="1" ht="15" customHeight="1" outlineLevel="1">
      <c r="B39" s="139" t="s">
        <v>61</v>
      </c>
      <c r="D39" s="104"/>
      <c r="E39" s="104"/>
      <c r="F39" s="119" t="s">
        <v>58</v>
      </c>
      <c r="G39" s="104"/>
      <c r="H39" s="149">
        <v>45</v>
      </c>
      <c r="I39" s="148">
        <v>45</v>
      </c>
      <c r="J39" s="148">
        <v>45</v>
      </c>
      <c r="K39" s="148">
        <v>45</v>
      </c>
      <c r="L39" s="147">
        <v>45</v>
      </c>
      <c r="M39" s="104"/>
    </row>
    <row r="40" spans="1:13" s="33" customFormat="1" ht="15" customHeight="1" outlineLevel="1">
      <c r="B40" s="139" t="s">
        <v>60</v>
      </c>
      <c r="D40" s="104"/>
      <c r="E40" s="104"/>
      <c r="F40" s="119" t="s">
        <v>58</v>
      </c>
      <c r="G40" s="104"/>
      <c r="H40" s="142">
        <v>25</v>
      </c>
      <c r="I40" s="141">
        <v>25</v>
      </c>
      <c r="J40" s="141">
        <v>25</v>
      </c>
      <c r="K40" s="141">
        <v>25</v>
      </c>
      <c r="L40" s="140">
        <v>25</v>
      </c>
      <c r="M40" s="104"/>
    </row>
    <row r="41" spans="1:13" s="33" customFormat="1" ht="15" customHeight="1" outlineLevel="1">
      <c r="B41" s="139" t="s">
        <v>59</v>
      </c>
      <c r="D41" s="104"/>
      <c r="E41" s="104"/>
      <c r="F41" s="119" t="s">
        <v>58</v>
      </c>
      <c r="G41" s="104"/>
      <c r="H41" s="137">
        <v>40</v>
      </c>
      <c r="I41" s="136">
        <v>40</v>
      </c>
      <c r="J41" s="136">
        <v>40</v>
      </c>
      <c r="K41" s="136">
        <v>40</v>
      </c>
      <c r="L41" s="135">
        <v>40</v>
      </c>
      <c r="M41" s="104"/>
    </row>
    <row r="42" spans="1:13" s="33" customFormat="1" ht="15" customHeight="1" outlineLevel="1"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1:13" s="33" customFormat="1" ht="15" customHeight="1" outlineLevel="1">
      <c r="D43" s="138"/>
      <c r="E43" s="138"/>
      <c r="F43" s="138"/>
      <c r="G43" s="138"/>
      <c r="H43" s="104"/>
      <c r="I43" s="104"/>
      <c r="J43" s="104"/>
      <c r="K43" s="104"/>
      <c r="L43" s="104"/>
    </row>
    <row r="44" spans="1:13" s="33" customFormat="1" ht="15" customHeight="1" outlineLevel="1">
      <c r="B44" s="146" t="s">
        <v>57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</row>
    <row r="45" spans="1:13" s="33" customFormat="1" ht="15" customHeight="1" outlineLevel="1">
      <c r="B45" s="139" t="s">
        <v>56</v>
      </c>
      <c r="D45" s="138"/>
      <c r="E45" s="138"/>
      <c r="F45" s="138"/>
      <c r="G45" s="138"/>
      <c r="H45" s="145">
        <v>3.5000000000000003E-2</v>
      </c>
      <c r="I45" s="144">
        <v>0.03</v>
      </c>
      <c r="J45" s="144">
        <v>0.03</v>
      </c>
      <c r="K45" s="144">
        <v>2.5000000000000001E-2</v>
      </c>
      <c r="L45" s="143">
        <v>2.5000000000000001E-2</v>
      </c>
      <c r="M45" s="104"/>
    </row>
    <row r="46" spans="1:13" s="33" customFormat="1" ht="15" customHeight="1" outlineLevel="1">
      <c r="B46" s="139" t="s">
        <v>55</v>
      </c>
      <c r="D46" s="138"/>
      <c r="E46" s="138"/>
      <c r="F46" s="119" t="s">
        <v>53</v>
      </c>
      <c r="G46" s="138"/>
      <c r="H46" s="142">
        <v>-4000</v>
      </c>
      <c r="I46" s="141">
        <v>-4000</v>
      </c>
      <c r="J46" s="141">
        <v>-4000</v>
      </c>
      <c r="K46" s="141">
        <v>-4000</v>
      </c>
      <c r="L46" s="140">
        <v>-4000</v>
      </c>
    </row>
    <row r="47" spans="1:13" s="33" customFormat="1" ht="15" customHeight="1" outlineLevel="1">
      <c r="B47" s="139" t="s">
        <v>54</v>
      </c>
      <c r="D47" s="138"/>
      <c r="E47" s="138"/>
      <c r="F47" s="119" t="s">
        <v>53</v>
      </c>
      <c r="G47" s="138"/>
      <c r="H47" s="137">
        <v>-1000</v>
      </c>
      <c r="I47" s="136">
        <v>-1000</v>
      </c>
      <c r="J47" s="136">
        <v>-1000</v>
      </c>
      <c r="K47" s="136">
        <v>-1000</v>
      </c>
      <c r="L47" s="135">
        <v>-1000</v>
      </c>
    </row>
    <row r="48" spans="1:13" s="33" customFormat="1" ht="15" customHeight="1" outlineLevel="1">
      <c r="C48" s="134"/>
      <c r="D48" s="104"/>
      <c r="E48" s="104"/>
      <c r="F48" s="104"/>
      <c r="G48" s="104"/>
      <c r="H48" s="104"/>
      <c r="I48" s="104"/>
      <c r="J48" s="104"/>
      <c r="K48" s="104"/>
      <c r="L48" s="104"/>
      <c r="M48" s="104"/>
    </row>
    <row r="49" spans="1:13" s="33" customFormat="1" ht="15" customHeight="1" outlineLevel="1">
      <c r="C49" s="134"/>
      <c r="D49" s="104"/>
      <c r="E49" s="104"/>
      <c r="F49" s="104"/>
      <c r="G49" s="104"/>
      <c r="H49" s="104"/>
      <c r="I49" s="104"/>
      <c r="J49" s="104"/>
      <c r="K49" s="104"/>
      <c r="L49" s="104"/>
      <c r="M49" s="104"/>
    </row>
    <row r="50" spans="1:13" s="33" customFormat="1" ht="15" customHeight="1" outlineLevel="1">
      <c r="C50" s="134"/>
      <c r="D50" s="104"/>
      <c r="E50" s="104"/>
      <c r="F50" s="104"/>
      <c r="G50" s="104"/>
      <c r="H50" s="104"/>
      <c r="I50" s="104"/>
      <c r="J50" s="104"/>
      <c r="K50" s="104"/>
      <c r="L50" s="104"/>
      <c r="M50" s="104"/>
    </row>
    <row r="51" spans="1:13" ht="15" customHeight="1" outlineLevel="1">
      <c r="A51" s="113"/>
      <c r="B51" s="113"/>
      <c r="C51" s="114" t="s">
        <v>52</v>
      </c>
      <c r="D51" s="70"/>
      <c r="E51" s="70"/>
      <c r="F51" s="70"/>
      <c r="H51" s="122" t="s">
        <v>51</v>
      </c>
      <c r="I51" s="121"/>
      <c r="J51" s="121"/>
      <c r="K51" s="121"/>
      <c r="L51" s="121"/>
    </row>
    <row r="52" spans="1:13" ht="15" customHeight="1" outlineLevel="1">
      <c r="A52" s="113"/>
      <c r="B52" s="113"/>
      <c r="C52" s="111" t="s">
        <v>50</v>
      </c>
      <c r="D52" s="110"/>
      <c r="E52" s="133" t="s">
        <v>49</v>
      </c>
      <c r="F52" s="132">
        <v>2023</v>
      </c>
      <c r="H52" s="120" t="s">
        <v>48</v>
      </c>
      <c r="I52" s="79"/>
      <c r="J52" s="79"/>
      <c r="K52" s="79"/>
      <c r="L52" s="116">
        <v>0.3</v>
      </c>
    </row>
    <row r="53" spans="1:13" ht="15" customHeight="1" outlineLevel="1">
      <c r="A53" s="113"/>
      <c r="B53" s="113"/>
      <c r="C53" s="107" t="s">
        <v>47</v>
      </c>
      <c r="D53" s="131"/>
      <c r="E53" s="130"/>
      <c r="F53" s="129">
        <v>365</v>
      </c>
      <c r="H53" s="120" t="s">
        <v>46</v>
      </c>
      <c r="I53" s="79"/>
      <c r="J53" s="79"/>
      <c r="K53" s="79"/>
      <c r="L53" s="116">
        <v>0.5</v>
      </c>
    </row>
    <row r="54" spans="1:13" ht="15" customHeight="1" outlineLevel="1">
      <c r="A54" s="113"/>
      <c r="B54" s="113"/>
      <c r="C54" s="79"/>
      <c r="D54" s="131"/>
      <c r="E54" s="131"/>
      <c r="F54" s="130"/>
      <c r="G54" s="129"/>
      <c r="H54" s="128" t="s">
        <v>45</v>
      </c>
      <c r="I54" s="127"/>
      <c r="J54" s="126"/>
      <c r="K54" s="125"/>
      <c r="L54" s="124">
        <v>0.15</v>
      </c>
    </row>
    <row r="55" spans="1:13" ht="15" customHeight="1" outlineLevel="1">
      <c r="A55" s="113"/>
      <c r="B55" s="113"/>
      <c r="H55" s="120" t="s">
        <v>44</v>
      </c>
      <c r="I55" s="123"/>
      <c r="J55" s="33"/>
      <c r="K55" s="119" t="str">
        <f>CONCATENATE("(End of ",$H$5-1,")")</f>
        <v>(End of 2022)</v>
      </c>
      <c r="L55" s="117">
        <v>39211</v>
      </c>
    </row>
    <row r="56" spans="1:13" ht="15" customHeight="1" outlineLevel="1">
      <c r="A56" s="113"/>
      <c r="B56" s="113"/>
      <c r="C56" s="122" t="s">
        <v>43</v>
      </c>
      <c r="D56" s="121"/>
      <c r="E56" s="121"/>
      <c r="F56" s="121"/>
      <c r="H56" s="120" t="s">
        <v>42</v>
      </c>
      <c r="I56" s="70"/>
      <c r="J56" s="33"/>
      <c r="K56" s="119" t="str">
        <f>CONCATENATE("(End of ",$H$5-1,")")</f>
        <v>(End of 2022)</v>
      </c>
      <c r="L56" s="118">
        <v>2657</v>
      </c>
      <c r="M56" s="115"/>
    </row>
    <row r="57" spans="1:13" ht="15" customHeight="1" outlineLevel="1">
      <c r="A57" s="113"/>
      <c r="B57" s="113"/>
      <c r="C57" s="107" t="s">
        <v>41</v>
      </c>
      <c r="D57" s="79"/>
      <c r="E57" s="106" t="s">
        <v>40</v>
      </c>
      <c r="F57" s="117">
        <v>1600</v>
      </c>
      <c r="M57" s="115"/>
    </row>
    <row r="58" spans="1:13" ht="15" customHeight="1" outlineLevel="1">
      <c r="A58" s="113"/>
      <c r="B58" s="113"/>
      <c r="C58" s="107" t="s">
        <v>39</v>
      </c>
      <c r="D58" s="79"/>
      <c r="E58" s="79"/>
      <c r="F58" s="116">
        <v>0.2</v>
      </c>
      <c r="M58" s="115"/>
    </row>
    <row r="59" spans="1:13" ht="15" customHeight="1" outlineLevel="1">
      <c r="A59" s="113"/>
      <c r="B59" s="113"/>
      <c r="M59" s="115"/>
    </row>
    <row r="60" spans="1:13" ht="15" customHeight="1" outlineLevel="1">
      <c r="A60" s="113"/>
      <c r="B60" s="113"/>
    </row>
    <row r="61" spans="1:13" ht="15" customHeight="1" outlineLevel="1">
      <c r="A61" s="113"/>
      <c r="B61" s="113"/>
      <c r="C61" s="114" t="s">
        <v>38</v>
      </c>
      <c r="D61" s="70"/>
      <c r="E61" s="70"/>
      <c r="F61" s="70"/>
      <c r="H61" s="114" t="s">
        <v>37</v>
      </c>
      <c r="I61" s="70"/>
      <c r="J61" s="70"/>
      <c r="K61" s="70"/>
    </row>
    <row r="62" spans="1:13" ht="15" customHeight="1" outlineLevel="1">
      <c r="A62" s="113"/>
      <c r="B62" s="113"/>
      <c r="C62" s="111" t="s">
        <v>36</v>
      </c>
      <c r="D62" s="110"/>
      <c r="E62" s="110"/>
      <c r="F62" s="112">
        <v>0.01</v>
      </c>
      <c r="H62" s="111" t="s">
        <v>35</v>
      </c>
      <c r="I62" s="110"/>
      <c r="J62" s="110"/>
      <c r="K62" s="110"/>
      <c r="L62" s="109">
        <v>0.5</v>
      </c>
    </row>
    <row r="63" spans="1:13" s="33" customFormat="1" ht="15" customHeight="1" outlineLevel="1">
      <c r="C63" s="107" t="s">
        <v>34</v>
      </c>
      <c r="D63" s="79"/>
      <c r="E63" s="79"/>
      <c r="F63" s="108">
        <v>0.05</v>
      </c>
      <c r="G63" s="57"/>
      <c r="H63" s="107" t="s">
        <v>33</v>
      </c>
      <c r="I63" s="79"/>
      <c r="J63" s="79"/>
      <c r="K63" s="106" t="s">
        <v>30</v>
      </c>
      <c r="L63" s="105">
        <v>16</v>
      </c>
    </row>
    <row r="64" spans="1:13" s="33" customFormat="1" ht="15" customHeight="1" outlineLevel="1">
      <c r="C64" s="107" t="s">
        <v>32</v>
      </c>
      <c r="D64" s="79"/>
      <c r="E64" s="79"/>
      <c r="F64" s="108">
        <v>0.06</v>
      </c>
      <c r="H64" s="107" t="s">
        <v>31</v>
      </c>
      <c r="I64" s="79"/>
      <c r="J64" s="79"/>
      <c r="K64" s="106" t="s">
        <v>30</v>
      </c>
      <c r="L64" s="105">
        <v>20</v>
      </c>
      <c r="M64" s="104"/>
    </row>
    <row r="65" spans="2:13" s="33" customFormat="1" ht="15" customHeight="1" outlineLevel="1">
      <c r="G65" s="79"/>
      <c r="H65" s="79"/>
      <c r="I65" s="103"/>
      <c r="J65" s="103"/>
      <c r="K65" s="103"/>
      <c r="L65" s="103"/>
    </row>
    <row r="66" spans="2:13" s="33" customFormat="1" ht="15" customHeight="1" outlineLevel="1">
      <c r="C66" s="79"/>
      <c r="D66" s="79"/>
      <c r="E66" s="79"/>
      <c r="F66" s="79"/>
      <c r="G66" s="79"/>
      <c r="H66" s="79"/>
      <c r="I66" s="103"/>
      <c r="J66" s="103"/>
      <c r="K66" s="103"/>
      <c r="L66" s="103"/>
    </row>
    <row r="67" spans="2:13" s="33" customFormat="1" ht="15" customHeight="1" outlineLevel="1">
      <c r="B67" s="100"/>
      <c r="C67" s="102"/>
      <c r="D67" s="102"/>
      <c r="E67" s="102"/>
      <c r="F67" s="102"/>
      <c r="G67" s="102"/>
      <c r="H67" s="102"/>
      <c r="I67" s="101"/>
      <c r="J67" s="101"/>
      <c r="K67" s="101"/>
      <c r="L67" s="101"/>
      <c r="M67" s="100" t="s">
        <v>0</v>
      </c>
    </row>
  </sheetData>
  <conditionalFormatting sqref="C62:F64">
    <cfRule type="containsText" dxfId="13" priority="5" operator="containsText" text="OK">
      <formula>NOT(ISERROR(SEARCH("OK",C62)))</formula>
    </cfRule>
    <cfRule type="containsText" dxfId="12" priority="6" operator="containsText" text="ERROR">
      <formula>NOT(ISERROR(SEARCH("ERROR",C62)))</formula>
    </cfRule>
  </conditionalFormatting>
  <conditionalFormatting sqref="F53">
    <cfRule type="expression" dxfId="11" priority="7">
      <formula>F53=1</formula>
    </cfRule>
  </conditionalFormatting>
  <conditionalFormatting sqref="H8:K23 H36:L56 I2:L2 H6:L7 H29:L30 I31:L32 H33:L34 C56:F58 H62:L64 I65:L67">
    <cfRule type="containsText" dxfId="10" priority="10" operator="containsText" text="OK">
      <formula>NOT(ISERROR(SEARCH("OK",C2)))</formula>
    </cfRule>
  </conditionalFormatting>
  <conditionalFormatting sqref="H24:K28">
    <cfRule type="containsText" dxfId="9" priority="3" operator="containsText" text="OK">
      <formula>NOT(ISERROR(SEARCH("OK",H24)))</formula>
    </cfRule>
    <cfRule type="containsText" dxfId="8" priority="4" operator="containsText" text="ERROR">
      <formula>NOT(ISERROR(SEARCH("ERROR",H24)))</formula>
    </cfRule>
  </conditionalFormatting>
  <conditionalFormatting sqref="H39:K41">
    <cfRule type="containsText" dxfId="7" priority="1" operator="containsText" text="OK">
      <formula>NOT(ISERROR(SEARCH("OK",H39)))</formula>
    </cfRule>
    <cfRule type="containsText" dxfId="6" priority="2" operator="containsText" text="ERROR">
      <formula>NOT(ISERROR(SEARCH("ERROR",H39)))</formula>
    </cfRule>
  </conditionalFormatting>
  <conditionalFormatting sqref="H22:L23 H43:L43 H45:L45">
    <cfRule type="containsText" dxfId="5" priority="8" operator="containsText" text="OK">
      <formula>NOT(ISERROR(SEARCH("OK",H22)))</formula>
    </cfRule>
    <cfRule type="containsText" dxfId="4" priority="9" operator="containsText" text="ERROR">
      <formula>NOT(ISERROR(SEARCH("ERROR",H22)))</formula>
    </cfRule>
  </conditionalFormatting>
  <conditionalFormatting sqref="I2:L2 H6:L7 H8:K23 H29:L30 I31:L32 H33:L34 H36:L56 C56:F58 H62:L64 I65:L67">
    <cfRule type="containsText" dxfId="3" priority="11" operator="containsText" text="ERROR">
      <formula>NOT(ISERROR(SEARCH("ERROR",C2)))</formula>
    </cfRule>
  </conditionalFormatting>
  <printOptions horizontalCentered="1"/>
  <pageMargins left="0.11811023622047245" right="0.11811023622047245" top="0.11811023622047245" bottom="0.11811023622047245" header="0.11811023622047245" footer="0.11811023622047245"/>
  <pageSetup scale="85" orientation="landscape" r:id="rId1"/>
  <headerFooter alignWithMargins="0">
    <oddFooter>&amp;L&amp;"Open Sans,Bold"&amp;10 &amp;K0020603-Statement Modeling&amp;C&amp;"Open Sans,Bold"&amp;10&amp;K002060Page &amp;P of &amp;N&amp;R&amp;"Open Sans,Bold"&amp;10&amp;K08-048Prepared By: Sanjeeb Bhatta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 sizeWithCells="1">
                  <from>
                    <xdr:col>3</xdr:col>
                    <xdr:colOff>260350</xdr:colOff>
                    <xdr:row>6</xdr:row>
                    <xdr:rowOff>0</xdr:rowOff>
                  </from>
                  <to>
                    <xdr:col>5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44F5-AA96-46C6-B4B7-8F05848D8866}">
  <sheetPr>
    <pageSetUpPr autoPageBreaks="0"/>
  </sheetPr>
  <dimension ref="A1:P445"/>
  <sheetViews>
    <sheetView showGridLines="0" zoomScale="79" zoomScaleNormal="100" zoomScaleSheetLayoutView="90" workbookViewId="0">
      <pane ySplit="1" topLeftCell="A41" activePane="bottomLeft" state="frozen"/>
      <selection activeCell="F24" sqref="F24"/>
      <selection pane="bottomLeft" activeCell="M90" sqref="M90"/>
    </sheetView>
  </sheetViews>
  <sheetFormatPr defaultColWidth="9.1796875" defaultRowHeight="15" customHeight="1" outlineLevelRow="1"/>
  <cols>
    <col min="1" max="1" width="9.1796875" style="57"/>
    <col min="2" max="2" width="15.81640625" style="57" bestFit="1" customWidth="1"/>
    <col min="3" max="3" width="12.7265625" style="57" customWidth="1"/>
    <col min="4" max="4" width="8.1796875" style="57" bestFit="1" customWidth="1"/>
    <col min="5" max="5" width="6.7265625" style="57" customWidth="1"/>
    <col min="6" max="13" width="10.26953125" style="57" customWidth="1"/>
    <col min="14" max="14" width="1.7265625" style="57" customWidth="1"/>
    <col min="15" max="16" width="9.1796875" style="57" customWidth="1"/>
    <col min="17" max="16384" width="9.1796875" style="57"/>
  </cols>
  <sheetData>
    <row r="1" spans="1:16" ht="30.5" customHeight="1">
      <c r="A1" s="60"/>
      <c r="B1" s="399" t="s">
        <v>210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P1" s="398"/>
    </row>
    <row r="2" spans="1:16" s="60" customFormat="1" ht="15" customHeight="1">
      <c r="B2" s="254"/>
      <c r="C2" s="93"/>
      <c r="D2" s="317"/>
      <c r="E2" s="92"/>
      <c r="F2" s="312"/>
      <c r="G2" s="312"/>
      <c r="H2" s="312"/>
      <c r="I2" s="229"/>
      <c r="J2" s="229"/>
      <c r="K2" s="229"/>
      <c r="L2" s="229"/>
      <c r="M2" s="229"/>
      <c r="N2" s="44"/>
      <c r="O2" s="44"/>
    </row>
    <row r="3" spans="1:16" s="194" customFormat="1" ht="15" customHeight="1">
      <c r="A3" s="60" t="s">
        <v>0</v>
      </c>
      <c r="B3" s="98" t="s">
        <v>209</v>
      </c>
      <c r="C3" s="97"/>
      <c r="D3" s="96"/>
      <c r="E3" s="96"/>
      <c r="F3" s="95"/>
      <c r="G3" s="95"/>
      <c r="H3" s="95"/>
      <c r="I3" s="95"/>
      <c r="J3" s="95"/>
      <c r="K3" s="95"/>
      <c r="L3" s="95"/>
      <c r="M3" s="95"/>
    </row>
    <row r="4" spans="1:16" s="194" customFormat="1" ht="15" customHeight="1" outlineLevel="1">
      <c r="B4" s="192"/>
      <c r="C4" s="93"/>
      <c r="D4" s="191"/>
      <c r="E4" s="191"/>
      <c r="F4" s="190"/>
      <c r="G4" s="190"/>
      <c r="H4" s="190"/>
      <c r="I4" s="190"/>
      <c r="J4" s="190"/>
      <c r="K4" s="190"/>
      <c r="L4" s="190"/>
      <c r="M4" s="190"/>
      <c r="P4" s="193"/>
    </row>
    <row r="5" spans="1:16" s="194" customFormat="1" ht="15" customHeight="1" outlineLevel="1" thickBot="1">
      <c r="B5" s="94" t="s">
        <v>28</v>
      </c>
      <c r="C5" s="93"/>
      <c r="D5" s="92"/>
      <c r="E5" s="92"/>
      <c r="F5" s="208">
        <f>G5-1</f>
        <v>2020</v>
      </c>
      <c r="G5" s="208">
        <f>H5-1</f>
        <v>2021</v>
      </c>
      <c r="H5" s="208">
        <f>I5-1</f>
        <v>2022</v>
      </c>
      <c r="I5" s="150">
        <f>Inputs!$F$52</f>
        <v>2023</v>
      </c>
      <c r="J5" s="150">
        <f>I5+1</f>
        <v>2024</v>
      </c>
      <c r="K5" s="150">
        <f>J5+1</f>
        <v>2025</v>
      </c>
      <c r="L5" s="150">
        <f>K5+1</f>
        <v>2026</v>
      </c>
      <c r="M5" s="150">
        <f>L5+1</f>
        <v>2027</v>
      </c>
      <c r="O5" s="23"/>
    </row>
    <row r="6" spans="1:16" ht="15" customHeight="1" outlineLevel="1">
      <c r="A6" s="60"/>
      <c r="B6" s="94" t="str" cm="1">
        <f t="array" ref="B6">CONCATENATE("Model Running: ",INDEX(Inputs!$B$12:$B$14,Inputs!$E$7)," Drivers")</f>
        <v>Model Running: Best Case Drivers</v>
      </c>
      <c r="C6" s="93"/>
      <c r="D6" s="92"/>
      <c r="E6" s="92"/>
      <c r="F6" s="92"/>
      <c r="G6" s="92"/>
      <c r="H6" s="92"/>
      <c r="I6" s="203"/>
      <c r="J6" s="203"/>
      <c r="K6" s="203"/>
      <c r="L6" s="203"/>
      <c r="M6" s="203"/>
      <c r="O6" s="23"/>
    </row>
    <row r="7" spans="1:16" s="194" customFormat="1" ht="15" customHeight="1" outlineLevel="1">
      <c r="B7" s="94"/>
      <c r="C7" s="93"/>
      <c r="D7" s="92"/>
      <c r="E7" s="92"/>
      <c r="F7" s="92"/>
      <c r="G7" s="92"/>
      <c r="H7" s="92"/>
    </row>
    <row r="8" spans="1:16" ht="15" customHeight="1" outlineLevel="1">
      <c r="A8" s="60"/>
      <c r="B8" s="254" t="s">
        <v>161</v>
      </c>
      <c r="C8" s="93"/>
      <c r="D8" s="92"/>
      <c r="E8" s="92"/>
      <c r="F8" s="397">
        <v>2.4E-2</v>
      </c>
      <c r="G8" s="396">
        <v>2.1999999999999999E-2</v>
      </c>
      <c r="H8" s="396">
        <v>2.3E-2</v>
      </c>
      <c r="I8" s="395">
        <f>Inputs!H45</f>
        <v>3.5000000000000003E-2</v>
      </c>
      <c r="J8" s="395">
        <f>Inputs!I45</f>
        <v>0.03</v>
      </c>
      <c r="K8" s="395">
        <f>Inputs!J45</f>
        <v>0.03</v>
      </c>
      <c r="L8" s="395">
        <f>Inputs!K45</f>
        <v>2.5000000000000001E-2</v>
      </c>
      <c r="M8" s="394">
        <f>Inputs!L45</f>
        <v>2.5000000000000001E-2</v>
      </c>
    </row>
    <row r="9" spans="1:16" ht="15" customHeight="1" outlineLevel="1">
      <c r="A9" s="60"/>
      <c r="B9" s="254"/>
      <c r="C9" s="93"/>
      <c r="D9" s="92"/>
      <c r="E9" s="92"/>
      <c r="F9" s="350"/>
      <c r="G9" s="350"/>
      <c r="H9" s="350"/>
      <c r="I9" s="350"/>
      <c r="J9" s="350"/>
      <c r="K9" s="350"/>
      <c r="L9" s="350"/>
      <c r="M9" s="350"/>
    </row>
    <row r="10" spans="1:16" ht="15" customHeight="1" outlineLevel="1">
      <c r="A10" s="60"/>
      <c r="B10" s="254"/>
      <c r="C10" s="93"/>
      <c r="D10" s="92"/>
      <c r="E10" s="92"/>
      <c r="F10" s="350"/>
      <c r="G10" s="350"/>
      <c r="H10" s="350"/>
      <c r="I10" s="350"/>
      <c r="J10" s="350"/>
      <c r="K10" s="350"/>
      <c r="L10" s="350"/>
      <c r="M10" s="350"/>
    </row>
    <row r="11" spans="1:16" s="60" customFormat="1" ht="15" customHeight="1" outlineLevel="1">
      <c r="B11" s="128" t="s">
        <v>26</v>
      </c>
      <c r="C11" s="61"/>
      <c r="D11" s="92"/>
      <c r="E11" s="61"/>
      <c r="F11" s="374">
        <v>50589</v>
      </c>
      <c r="G11" s="374">
        <v>51647.864999999998</v>
      </c>
      <c r="H11" s="374">
        <v>53760.85</v>
      </c>
      <c r="I11" s="71">
        <f>I151</f>
        <v>57311.754142500002</v>
      </c>
      <c r="J11" s="71">
        <f>J151</f>
        <v>59627.149009857007</v>
      </c>
      <c r="K11" s="71">
        <f>K151</f>
        <v>62036.085829855227</v>
      </c>
      <c r="L11" s="71">
        <f>L151</f>
        <v>64225.95965964911</v>
      </c>
      <c r="M11" s="71">
        <f>M151</f>
        <v>66167.189290361988</v>
      </c>
      <c r="O11" s="69"/>
      <c r="P11" s="193"/>
    </row>
    <row r="12" spans="1:16" s="60" customFormat="1" ht="15" customHeight="1" outlineLevel="1">
      <c r="B12" s="128" t="s">
        <v>147</v>
      </c>
      <c r="C12" s="61"/>
      <c r="D12" s="61"/>
      <c r="E12" s="61"/>
      <c r="F12" s="378">
        <v>-24544.3</v>
      </c>
      <c r="G12" s="378">
        <v>-25104.0144</v>
      </c>
      <c r="H12" s="378">
        <v>-25779.4015</v>
      </c>
      <c r="I12" s="73">
        <f>-I197</f>
        <v>-26856.225069075001</v>
      </c>
      <c r="J12" s="73">
        <f>-J197</f>
        <v>-27785.361339570198</v>
      </c>
      <c r="K12" s="73">
        <f>-K197</f>
        <v>-28748.618243812449</v>
      </c>
      <c r="L12" s="73">
        <f>-L197</f>
        <v>-29569.031626134998</v>
      </c>
      <c r="M12" s="73">
        <f>-M197</f>
        <v>-30414.061396787041</v>
      </c>
      <c r="O12" s="69"/>
      <c r="P12" s="193"/>
    </row>
    <row r="13" spans="1:16" s="60" customFormat="1" ht="15" customHeight="1" outlineLevel="1">
      <c r="B13" s="146" t="s">
        <v>208</v>
      </c>
      <c r="C13" s="74"/>
      <c r="D13" s="61"/>
      <c r="E13" s="61"/>
      <c r="F13" s="390">
        <v>26044.7</v>
      </c>
      <c r="G13" s="390">
        <v>26543.850599999998</v>
      </c>
      <c r="H13" s="390">
        <v>27981.448499999999</v>
      </c>
      <c r="I13" s="215">
        <f>SUM(I11:I12)</f>
        <v>30455.529073425001</v>
      </c>
      <c r="J13" s="215">
        <f>SUM(J11:J12)</f>
        <v>31841.787670286809</v>
      </c>
      <c r="K13" s="215">
        <f>SUM(K11:K12)</f>
        <v>33287.467586042781</v>
      </c>
      <c r="L13" s="215">
        <f>SUM(L11:L12)</f>
        <v>34656.928033514108</v>
      </c>
      <c r="M13" s="215">
        <f>SUM(M11:M12)</f>
        <v>35753.127893574943</v>
      </c>
      <c r="O13" s="69"/>
      <c r="P13" s="193"/>
    </row>
    <row r="14" spans="1:16" s="60" customFormat="1" ht="15" customHeight="1" outlineLevel="1">
      <c r="B14" s="146"/>
      <c r="C14" s="74"/>
      <c r="D14" s="61"/>
      <c r="E14" s="61"/>
      <c r="F14" s="391"/>
      <c r="G14" s="391"/>
      <c r="H14" s="391"/>
      <c r="I14" s="215"/>
      <c r="J14" s="215"/>
      <c r="K14" s="215"/>
      <c r="L14" s="215"/>
      <c r="M14" s="215"/>
      <c r="P14" s="44"/>
    </row>
    <row r="15" spans="1:16" s="60" customFormat="1" ht="15" customHeight="1" outlineLevel="1">
      <c r="B15" s="128"/>
      <c r="C15" s="61"/>
      <c r="D15" s="61"/>
      <c r="E15" s="61"/>
      <c r="F15" s="391"/>
      <c r="G15" s="391"/>
      <c r="H15" s="391"/>
      <c r="I15" s="393"/>
      <c r="J15" s="393"/>
      <c r="K15" s="393"/>
      <c r="L15" s="393"/>
      <c r="M15" s="392"/>
    </row>
    <row r="16" spans="1:16" s="60" customFormat="1" ht="15" customHeight="1" outlineLevel="1">
      <c r="B16" s="128" t="s">
        <v>207</v>
      </c>
      <c r="C16" s="61"/>
      <c r="D16" s="61"/>
      <c r="E16" s="61"/>
      <c r="F16" s="374">
        <v>-5877</v>
      </c>
      <c r="G16" s="374">
        <v>-6006</v>
      </c>
      <c r="H16" s="374">
        <v>-6144</v>
      </c>
      <c r="I16" s="376">
        <f t="shared" ref="I16:M17" si="0">H16*(1+I$8)</f>
        <v>-6359.0399999999991</v>
      </c>
      <c r="J16" s="376">
        <f t="shared" si="0"/>
        <v>-6549.8111999999992</v>
      </c>
      <c r="K16" s="376">
        <f t="shared" si="0"/>
        <v>-6746.3055359999989</v>
      </c>
      <c r="L16" s="376">
        <f t="shared" si="0"/>
        <v>-6914.963174399998</v>
      </c>
      <c r="M16" s="376">
        <f t="shared" si="0"/>
        <v>-7087.8372537599971</v>
      </c>
      <c r="O16" s="69"/>
    </row>
    <row r="17" spans="2:16" s="60" customFormat="1" ht="15" customHeight="1" outlineLevel="1">
      <c r="B17" s="128" t="s">
        <v>206</v>
      </c>
      <c r="C17" s="61"/>
      <c r="D17" s="61"/>
      <c r="E17" s="61"/>
      <c r="F17" s="378">
        <v>-1764</v>
      </c>
      <c r="G17" s="378">
        <v>-1931</v>
      </c>
      <c r="H17" s="378">
        <v>-2026</v>
      </c>
      <c r="I17" s="377">
        <f t="shared" si="0"/>
        <v>-2096.91</v>
      </c>
      <c r="J17" s="377">
        <f t="shared" si="0"/>
        <v>-2159.8172999999997</v>
      </c>
      <c r="K17" s="377">
        <f t="shared" si="0"/>
        <v>-2224.6118189999997</v>
      </c>
      <c r="L17" s="377">
        <f t="shared" si="0"/>
        <v>-2280.2271144749993</v>
      </c>
      <c r="M17" s="377">
        <f t="shared" si="0"/>
        <v>-2337.2327923368739</v>
      </c>
      <c r="O17" s="69"/>
    </row>
    <row r="18" spans="2:16" s="60" customFormat="1" ht="15" customHeight="1" outlineLevel="1">
      <c r="B18" s="146" t="s">
        <v>25</v>
      </c>
      <c r="C18" s="74"/>
      <c r="D18" s="61"/>
      <c r="E18" s="61"/>
      <c r="F18" s="390">
        <v>18403.7</v>
      </c>
      <c r="G18" s="390">
        <v>18606.850599999998</v>
      </c>
      <c r="H18" s="390">
        <v>19811.448499999999</v>
      </c>
      <c r="I18" s="215">
        <f>I13+SUM(I16:I17)</f>
        <v>21999.579073425004</v>
      </c>
      <c r="J18" s="215">
        <f>J13+SUM(J16:J17)</f>
        <v>23132.15917028681</v>
      </c>
      <c r="K18" s="215">
        <f>K13+SUM(K16:K17)</f>
        <v>24316.550231042784</v>
      </c>
      <c r="L18" s="215">
        <f>L13+SUM(L16:L17)</f>
        <v>25461.737744639111</v>
      </c>
      <c r="M18" s="215">
        <f>M13+SUM(M16:M17)</f>
        <v>26328.05784747807</v>
      </c>
      <c r="O18" s="69"/>
      <c r="P18" s="193"/>
    </row>
    <row r="19" spans="2:16" s="60" customFormat="1" ht="15" customHeight="1" outlineLevel="1">
      <c r="B19" s="146"/>
      <c r="C19" s="74"/>
      <c r="D19" s="61"/>
      <c r="E19" s="61"/>
      <c r="F19" s="391"/>
      <c r="G19" s="391"/>
      <c r="H19" s="391"/>
      <c r="I19" s="215"/>
      <c r="J19" s="215"/>
      <c r="K19" s="215"/>
      <c r="L19" s="215"/>
      <c r="M19" s="215"/>
    </row>
    <row r="20" spans="2:16" s="60" customFormat="1" ht="15" customHeight="1" outlineLevel="1">
      <c r="B20" s="128"/>
      <c r="C20" s="61"/>
      <c r="D20" s="61"/>
      <c r="E20" s="61"/>
      <c r="F20" s="390"/>
      <c r="G20" s="390"/>
      <c r="H20" s="390"/>
      <c r="I20" s="215"/>
      <c r="J20" s="215"/>
      <c r="K20" s="215"/>
      <c r="L20" s="215"/>
      <c r="M20" s="215"/>
    </row>
    <row r="21" spans="2:16" s="60" customFormat="1" ht="15" customHeight="1" outlineLevel="1">
      <c r="B21" s="128" t="s">
        <v>37</v>
      </c>
      <c r="C21" s="61"/>
      <c r="D21" s="61"/>
      <c r="E21" s="61"/>
      <c r="F21" s="378">
        <v>-2960</v>
      </c>
      <c r="G21" s="378">
        <v>-3196</v>
      </c>
      <c r="H21" s="378">
        <v>-3452</v>
      </c>
      <c r="I21" s="377">
        <f>-I271</f>
        <v>-5287.9375</v>
      </c>
      <c r="J21" s="377">
        <f>-J271</f>
        <v>-6024.1875</v>
      </c>
      <c r="K21" s="377">
        <f>-K271</f>
        <v>-6350.4375</v>
      </c>
      <c r="L21" s="377">
        <f>-L271</f>
        <v>-6687.9375</v>
      </c>
      <c r="M21" s="377">
        <f>-M271</f>
        <v>-7040.4375</v>
      </c>
      <c r="O21" s="69"/>
    </row>
    <row r="22" spans="2:16" s="60" customFormat="1" ht="15" customHeight="1" outlineLevel="1">
      <c r="B22" s="146" t="s">
        <v>205</v>
      </c>
      <c r="C22" s="74"/>
      <c r="D22" s="61"/>
      <c r="E22" s="61"/>
      <c r="F22" s="390">
        <v>15443.7</v>
      </c>
      <c r="G22" s="390">
        <v>15410.850599999998</v>
      </c>
      <c r="H22" s="390">
        <v>16359.448499999999</v>
      </c>
      <c r="I22" s="215">
        <f>I21+I18</f>
        <v>16711.641573425004</v>
      </c>
      <c r="J22" s="215">
        <f>J21+J18</f>
        <v>17107.97167028681</v>
      </c>
      <c r="K22" s="215">
        <f>K21+K18</f>
        <v>17966.112731042784</v>
      </c>
      <c r="L22" s="215">
        <f>L21+L18</f>
        <v>18773.800244639111</v>
      </c>
      <c r="M22" s="215">
        <f>M21+M18</f>
        <v>19287.62034747807</v>
      </c>
      <c r="O22" s="69"/>
      <c r="P22" s="193"/>
    </row>
    <row r="23" spans="2:16" s="60" customFormat="1" ht="15" customHeight="1" outlineLevel="1">
      <c r="B23" s="146"/>
      <c r="C23" s="74"/>
      <c r="D23" s="61"/>
      <c r="E23" s="61"/>
      <c r="F23" s="390"/>
      <c r="G23" s="390"/>
      <c r="H23" s="390"/>
      <c r="I23" s="215"/>
      <c r="J23" s="215"/>
      <c r="K23" s="215"/>
      <c r="L23" s="215"/>
      <c r="M23" s="215"/>
    </row>
    <row r="24" spans="2:16" s="60" customFormat="1" ht="15" customHeight="1" outlineLevel="1">
      <c r="B24" s="146"/>
      <c r="C24" s="74"/>
      <c r="D24" s="61"/>
      <c r="E24" s="61"/>
      <c r="F24" s="390"/>
      <c r="G24" s="390"/>
      <c r="H24" s="390"/>
      <c r="I24" s="215"/>
      <c r="J24" s="215"/>
      <c r="K24" s="215"/>
      <c r="L24" s="215"/>
      <c r="M24" s="215"/>
    </row>
    <row r="25" spans="2:16" s="60" customFormat="1" ht="15" customHeight="1" outlineLevel="1">
      <c r="B25" s="128" t="s">
        <v>81</v>
      </c>
      <c r="C25" s="61"/>
      <c r="D25" s="61"/>
      <c r="E25" s="61"/>
      <c r="F25" s="374">
        <v>-1688</v>
      </c>
      <c r="G25" s="374">
        <v>-2200</v>
      </c>
      <c r="H25" s="374">
        <v>-2350</v>
      </c>
      <c r="I25" s="71">
        <f>-Model!I411</f>
        <v>-1080</v>
      </c>
      <c r="J25" s="71">
        <f>-Model!J411</f>
        <v>-1072.8343297065621</v>
      </c>
      <c r="K25" s="71">
        <f>-Model!K411</f>
        <v>-627.7516821119093</v>
      </c>
      <c r="L25" s="71">
        <f>-Model!L411</f>
        <v>-360</v>
      </c>
      <c r="M25" s="71">
        <f>-Model!M411</f>
        <v>-120</v>
      </c>
      <c r="O25" s="69"/>
    </row>
    <row r="26" spans="2:16" s="60" customFormat="1" ht="15" customHeight="1" outlineLevel="1">
      <c r="B26" s="128" t="s">
        <v>93</v>
      </c>
      <c r="C26" s="61"/>
      <c r="D26" s="61"/>
      <c r="E26" s="61"/>
      <c r="F26" s="378">
        <v>200</v>
      </c>
      <c r="G26" s="378">
        <v>180</v>
      </c>
      <c r="H26" s="378">
        <v>193</v>
      </c>
      <c r="I26" s="73">
        <f>-Model!I412</f>
        <v>84.099990999999989</v>
      </c>
      <c r="J26" s="73">
        <f>-Model!J412</f>
        <v>0</v>
      </c>
      <c r="K26" s="73">
        <f>-Model!K412</f>
        <v>0</v>
      </c>
      <c r="L26" s="73">
        <f>-Model!L412</f>
        <v>42.479461221527274</v>
      </c>
      <c r="M26" s="73">
        <f>-Model!M412</f>
        <v>95.622581729921862</v>
      </c>
      <c r="O26" s="69"/>
    </row>
    <row r="27" spans="2:16" s="60" customFormat="1" ht="15" customHeight="1" outlineLevel="1">
      <c r="B27" s="146" t="s">
        <v>113</v>
      </c>
      <c r="C27" s="74"/>
      <c r="D27" s="61"/>
      <c r="E27" s="61"/>
      <c r="F27" s="390">
        <v>13955.7</v>
      </c>
      <c r="G27" s="390">
        <v>13390.850599999998</v>
      </c>
      <c r="H27" s="390">
        <v>14202.448499999999</v>
      </c>
      <c r="I27" s="215">
        <f>I22+SUM(I25:I26)</f>
        <v>15715.741564425003</v>
      </c>
      <c r="J27" s="215">
        <f>J22+SUM(J25:J26)</f>
        <v>16035.137340580248</v>
      </c>
      <c r="K27" s="215">
        <f>K22+SUM(K25:K26)</f>
        <v>17338.361048930874</v>
      </c>
      <c r="L27" s="215">
        <f>L22+SUM(L25:L26)</f>
        <v>18456.279705860637</v>
      </c>
      <c r="M27" s="215">
        <f>M22+SUM(M25:M26)</f>
        <v>19263.242929207991</v>
      </c>
      <c r="O27" s="69"/>
      <c r="P27" s="193"/>
    </row>
    <row r="28" spans="2:16" s="60" customFormat="1" ht="15" customHeight="1" outlineLevel="1">
      <c r="B28" s="146"/>
      <c r="C28" s="74"/>
      <c r="D28" s="61"/>
      <c r="E28" s="61"/>
      <c r="F28" s="390"/>
      <c r="G28" s="390"/>
      <c r="H28" s="390"/>
      <c r="I28" s="215"/>
      <c r="J28" s="215"/>
      <c r="K28" s="215"/>
      <c r="L28" s="215"/>
      <c r="M28" s="215"/>
    </row>
    <row r="29" spans="2:16" s="60" customFormat="1" ht="15" customHeight="1" outlineLevel="1">
      <c r="B29" s="146"/>
      <c r="C29" s="74"/>
      <c r="D29" s="61"/>
      <c r="E29" s="61"/>
      <c r="F29" s="390"/>
      <c r="G29" s="390"/>
      <c r="H29" s="390"/>
      <c r="I29" s="215"/>
      <c r="J29" s="215"/>
      <c r="K29" s="215"/>
      <c r="L29" s="215"/>
      <c r="M29" s="215"/>
    </row>
    <row r="30" spans="2:16" s="60" customFormat="1" ht="15" customHeight="1" outlineLevel="1">
      <c r="B30" s="128" t="s">
        <v>204</v>
      </c>
      <c r="C30" s="61"/>
      <c r="D30" s="61"/>
      <c r="E30" s="61"/>
      <c r="F30" s="374">
        <v>0</v>
      </c>
      <c r="G30" s="374">
        <v>0</v>
      </c>
      <c r="H30" s="374">
        <v>0</v>
      </c>
      <c r="I30" s="71">
        <f t="shared" ref="I30:M31" si="1">-I340</f>
        <v>-3222.0087193275008</v>
      </c>
      <c r="J30" s="71">
        <f t="shared" si="1"/>
        <v>-4015.476702174074</v>
      </c>
      <c r="K30" s="71">
        <f t="shared" si="1"/>
        <v>-4601.0419271792625</v>
      </c>
      <c r="L30" s="71">
        <f t="shared" si="1"/>
        <v>-5109.7571698831916</v>
      </c>
      <c r="M30" s="71">
        <f t="shared" si="1"/>
        <v>-5505.3723356686469</v>
      </c>
      <c r="O30" s="69"/>
    </row>
    <row r="31" spans="2:16" s="60" customFormat="1" ht="15" customHeight="1" outlineLevel="1">
      <c r="B31" s="128" t="s">
        <v>203</v>
      </c>
      <c r="C31" s="61"/>
      <c r="D31" s="61"/>
      <c r="E31" s="61"/>
      <c r="F31" s="378">
        <v>-3155</v>
      </c>
      <c r="G31" s="378">
        <v>-2861</v>
      </c>
      <c r="H31" s="378">
        <v>-3012</v>
      </c>
      <c r="I31" s="73">
        <f t="shared" si="1"/>
        <v>-1492.7137500000003</v>
      </c>
      <c r="J31" s="73">
        <f t="shared" si="1"/>
        <v>-795.06449999999995</v>
      </c>
      <c r="K31" s="73">
        <f t="shared" si="1"/>
        <v>-600.46638749999966</v>
      </c>
      <c r="L31" s="73">
        <f t="shared" si="1"/>
        <v>-427.12674187499942</v>
      </c>
      <c r="M31" s="73">
        <f t="shared" si="1"/>
        <v>-273.60054309375028</v>
      </c>
      <c r="O31" s="69"/>
    </row>
    <row r="32" spans="2:16" s="60" customFormat="1" ht="15" customHeight="1" outlineLevel="1">
      <c r="B32" s="128" t="s">
        <v>202</v>
      </c>
      <c r="C32" s="61"/>
      <c r="D32" s="61"/>
      <c r="E32" s="61"/>
      <c r="F32" s="374">
        <v>-3155</v>
      </c>
      <c r="G32" s="374">
        <v>-2861</v>
      </c>
      <c r="H32" s="374">
        <v>-3012</v>
      </c>
      <c r="I32" s="71">
        <f>SUM(I30:I31)</f>
        <v>-4714.7224693275011</v>
      </c>
      <c r="J32" s="71">
        <f>SUM(J30:J31)</f>
        <v>-4810.541202174074</v>
      </c>
      <c r="K32" s="71">
        <f>SUM(K30:K31)</f>
        <v>-5201.5083146792622</v>
      </c>
      <c r="L32" s="71">
        <f>SUM(L30:L31)</f>
        <v>-5536.8839117581911</v>
      </c>
      <c r="M32" s="71">
        <f>SUM(M30:M31)</f>
        <v>-5778.9728787623972</v>
      </c>
      <c r="O32" s="69"/>
      <c r="P32" s="193"/>
    </row>
    <row r="33" spans="1:16" s="60" customFormat="1" ht="15" customHeight="1" outlineLevel="1">
      <c r="B33" s="128"/>
      <c r="C33" s="61"/>
      <c r="D33" s="61"/>
      <c r="E33" s="61"/>
      <c r="F33" s="374"/>
      <c r="G33" s="374"/>
      <c r="H33" s="374"/>
      <c r="I33" s="376"/>
      <c r="J33" s="376"/>
      <c r="K33" s="376"/>
      <c r="L33" s="376"/>
      <c r="M33" s="376"/>
    </row>
    <row r="34" spans="1:16" s="60" customFormat="1" ht="15" customHeight="1" outlineLevel="1">
      <c r="B34" s="128"/>
      <c r="C34" s="61"/>
      <c r="D34" s="61"/>
      <c r="E34" s="61"/>
      <c r="F34" s="374"/>
      <c r="G34" s="374"/>
      <c r="H34" s="374"/>
      <c r="I34" s="376"/>
      <c r="J34" s="376"/>
      <c r="K34" s="376"/>
      <c r="L34" s="376"/>
      <c r="M34" s="376"/>
    </row>
    <row r="35" spans="1:16" s="60" customFormat="1" ht="15" customHeight="1" outlineLevel="1" thickBot="1">
      <c r="B35" s="146" t="s">
        <v>23</v>
      </c>
      <c r="C35" s="74"/>
      <c r="D35" s="61"/>
      <c r="E35" s="61"/>
      <c r="F35" s="389">
        <v>10800.7</v>
      </c>
      <c r="G35" s="389">
        <v>10529.850599999998</v>
      </c>
      <c r="H35" s="389">
        <v>11190.448499999999</v>
      </c>
      <c r="I35" s="388">
        <f>I32+I27</f>
        <v>11001.019095097501</v>
      </c>
      <c r="J35" s="388">
        <f>J32+J27</f>
        <v>11224.596138406174</v>
      </c>
      <c r="K35" s="388">
        <f>K32+K27</f>
        <v>12136.852734251612</v>
      </c>
      <c r="L35" s="388">
        <f>L32+L27</f>
        <v>12919.395794102446</v>
      </c>
      <c r="M35" s="388">
        <f>M32+M27</f>
        <v>13484.270050445593</v>
      </c>
      <c r="O35" s="69"/>
      <c r="P35" s="193"/>
    </row>
    <row r="36" spans="1:16" s="60" customFormat="1" ht="15" customHeight="1" outlineLevel="1">
      <c r="B36" s="74"/>
      <c r="C36" s="74"/>
      <c r="D36" s="61"/>
      <c r="E36" s="61"/>
      <c r="F36" s="368"/>
      <c r="G36" s="368"/>
      <c r="H36" s="368"/>
      <c r="I36" s="368"/>
      <c r="J36" s="368"/>
      <c r="K36" s="368"/>
      <c r="L36" s="368"/>
      <c r="M36" s="368"/>
    </row>
    <row r="37" spans="1:16" s="60" customFormat="1" ht="15" customHeight="1" outlineLevel="1">
      <c r="B37" s="323"/>
      <c r="C37" s="323"/>
      <c r="D37" s="322"/>
      <c r="E37" s="322"/>
      <c r="F37" s="362"/>
      <c r="G37" s="362"/>
      <c r="H37" s="362"/>
      <c r="I37" s="362"/>
      <c r="J37" s="362"/>
      <c r="K37" s="362"/>
      <c r="L37" s="362"/>
      <c r="M37" s="362"/>
    </row>
    <row r="38" spans="1:16" s="60" customFormat="1" ht="15" customHeight="1">
      <c r="B38" s="254"/>
      <c r="C38" s="318"/>
      <c r="D38" s="317"/>
      <c r="E38" s="61"/>
      <c r="F38" s="224"/>
      <c r="G38" s="224"/>
      <c r="H38" s="224"/>
      <c r="I38" s="224"/>
      <c r="J38" s="224"/>
      <c r="K38" s="224"/>
      <c r="L38" s="224"/>
      <c r="M38" s="224"/>
      <c r="N38" s="44"/>
      <c r="O38" s="44"/>
    </row>
    <row r="39" spans="1:16" s="194" customFormat="1" ht="15" customHeight="1">
      <c r="A39" s="60" t="s">
        <v>0</v>
      </c>
      <c r="B39" s="98" t="s">
        <v>201</v>
      </c>
      <c r="C39" s="97"/>
      <c r="D39" s="96"/>
      <c r="E39" s="96"/>
      <c r="F39" s="95"/>
      <c r="G39" s="95"/>
      <c r="H39" s="95"/>
      <c r="I39" s="95"/>
      <c r="J39" s="95"/>
      <c r="K39" s="95"/>
      <c r="L39" s="95"/>
      <c r="M39" s="95"/>
      <c r="P39" s="193"/>
    </row>
    <row r="40" spans="1:16" s="194" customFormat="1" ht="15" customHeight="1" outlineLevel="1">
      <c r="B40" s="192"/>
      <c r="C40" s="93"/>
      <c r="D40" s="191"/>
      <c r="E40" s="191"/>
      <c r="F40" s="190"/>
      <c r="G40" s="190"/>
      <c r="H40" s="190"/>
      <c r="I40" s="190"/>
      <c r="J40" s="190"/>
      <c r="K40" s="190"/>
      <c r="L40" s="190"/>
      <c r="M40" s="190"/>
    </row>
    <row r="41" spans="1:16" s="194" customFormat="1" ht="15" customHeight="1" outlineLevel="1" thickBot="1">
      <c r="B41" s="94" t="s">
        <v>28</v>
      </c>
      <c r="C41" s="93"/>
      <c r="D41" s="92"/>
      <c r="E41" s="92"/>
      <c r="F41" s="208">
        <f t="shared" ref="F41:M41" si="2">F$5</f>
        <v>2020</v>
      </c>
      <c r="G41" s="208">
        <f t="shared" si="2"/>
        <v>2021</v>
      </c>
      <c r="H41" s="208">
        <f t="shared" si="2"/>
        <v>2022</v>
      </c>
      <c r="I41" s="150">
        <f t="shared" si="2"/>
        <v>2023</v>
      </c>
      <c r="J41" s="150">
        <f t="shared" si="2"/>
        <v>2024</v>
      </c>
      <c r="K41" s="150">
        <f t="shared" si="2"/>
        <v>2025</v>
      </c>
      <c r="L41" s="150">
        <f t="shared" si="2"/>
        <v>2026</v>
      </c>
      <c r="M41" s="150">
        <f t="shared" si="2"/>
        <v>2027</v>
      </c>
    </row>
    <row r="42" spans="1:16" ht="15" customHeight="1" outlineLevel="1">
      <c r="A42" s="60"/>
      <c r="B42" s="94" t="str">
        <f>B$6</f>
        <v>Model Running: Best Case Drivers</v>
      </c>
      <c r="C42" s="93"/>
      <c r="D42" s="92"/>
      <c r="E42" s="92"/>
      <c r="F42" s="92"/>
      <c r="G42" s="92"/>
      <c r="H42" s="92"/>
      <c r="I42" s="203"/>
      <c r="J42" s="203"/>
      <c r="K42" s="203"/>
      <c r="L42" s="203"/>
      <c r="M42" s="203"/>
      <c r="P42" s="44"/>
    </row>
    <row r="43" spans="1:16" s="194" customFormat="1" ht="15" customHeight="1" outlineLevel="1">
      <c r="B43" s="94"/>
      <c r="C43" s="93"/>
      <c r="D43" s="92"/>
      <c r="E43" s="92"/>
      <c r="F43" s="92"/>
      <c r="G43" s="92"/>
      <c r="H43" s="92"/>
      <c r="P43" s="44"/>
    </row>
    <row r="44" spans="1:16" s="194" customFormat="1" ht="15" customHeight="1" outlineLevel="1">
      <c r="B44" s="94"/>
      <c r="C44" s="93"/>
      <c r="D44" s="92"/>
      <c r="E44" s="92"/>
      <c r="F44" s="92"/>
      <c r="G44" s="92"/>
      <c r="H44" s="92"/>
      <c r="P44" s="44"/>
    </row>
    <row r="45" spans="1:16" ht="15" customHeight="1" outlineLevel="1">
      <c r="A45" s="60"/>
      <c r="B45" s="74" t="s">
        <v>200</v>
      </c>
      <c r="C45" s="74"/>
      <c r="F45" s="387"/>
      <c r="G45" s="387"/>
      <c r="H45" s="387"/>
      <c r="I45" s="386"/>
      <c r="J45" s="386"/>
      <c r="K45" s="386"/>
      <c r="M45" s="349"/>
      <c r="P45" s="44"/>
    </row>
    <row r="46" spans="1:16" ht="15" customHeight="1" outlineLevel="1">
      <c r="A46" s="60"/>
      <c r="B46" s="72" t="s">
        <v>23</v>
      </c>
      <c r="C46" s="72"/>
      <c r="F46" s="246">
        <v>10800.7</v>
      </c>
      <c r="G46" s="246">
        <v>10529.850599999998</v>
      </c>
      <c r="H46" s="246">
        <v>11190.448499999999</v>
      </c>
      <c r="I46" s="224">
        <f>I35</f>
        <v>11001.019095097501</v>
      </c>
      <c r="J46" s="224">
        <f>J35</f>
        <v>11224.596138406174</v>
      </c>
      <c r="K46" s="224">
        <f>K35</f>
        <v>12136.852734251612</v>
      </c>
      <c r="L46" s="224">
        <f>L35</f>
        <v>12919.395794102446</v>
      </c>
      <c r="M46" s="224">
        <f>M35</f>
        <v>13484.270050445593</v>
      </c>
      <c r="O46" s="69"/>
      <c r="P46" s="193"/>
    </row>
    <row r="47" spans="1:16" ht="15" customHeight="1" outlineLevel="1">
      <c r="A47" s="60"/>
      <c r="B47" s="72" t="s">
        <v>99</v>
      </c>
      <c r="C47" s="72"/>
      <c r="F47" s="246">
        <v>3155</v>
      </c>
      <c r="G47" s="246">
        <v>2861</v>
      </c>
      <c r="H47" s="246">
        <v>3012</v>
      </c>
      <c r="I47" s="224">
        <f>-I31</f>
        <v>1492.7137500000003</v>
      </c>
      <c r="J47" s="224">
        <f>-J31</f>
        <v>795.06449999999995</v>
      </c>
      <c r="K47" s="224">
        <f>-K31</f>
        <v>600.46638749999966</v>
      </c>
      <c r="L47" s="224">
        <f>-L31</f>
        <v>427.12674187499942</v>
      </c>
      <c r="M47" s="224">
        <f>-M31</f>
        <v>273.60054309375028</v>
      </c>
      <c r="O47" s="69"/>
      <c r="P47" s="193"/>
    </row>
    <row r="48" spans="1:16" ht="15" customHeight="1" outlineLevel="1">
      <c r="A48" s="60"/>
      <c r="B48" s="72" t="s">
        <v>37</v>
      </c>
      <c r="C48" s="72"/>
      <c r="F48" s="246">
        <v>2960</v>
      </c>
      <c r="G48" s="246">
        <v>3196</v>
      </c>
      <c r="H48" s="246">
        <v>3452</v>
      </c>
      <c r="I48" s="224">
        <f>-I21</f>
        <v>5287.9375</v>
      </c>
      <c r="J48" s="224">
        <f>-J21</f>
        <v>6024.1875</v>
      </c>
      <c r="K48" s="224">
        <f>-K21</f>
        <v>6350.4375</v>
      </c>
      <c r="L48" s="224">
        <f>-L21</f>
        <v>6687.9375</v>
      </c>
      <c r="M48" s="224">
        <f>-M21</f>
        <v>7040.4375</v>
      </c>
      <c r="O48" s="69"/>
      <c r="P48" s="193"/>
    </row>
    <row r="49" spans="1:16" ht="15" customHeight="1" outlineLevel="1">
      <c r="A49" s="60"/>
      <c r="B49" s="385" t="s">
        <v>199</v>
      </c>
      <c r="C49" s="72"/>
      <c r="F49" s="246">
        <v>-600</v>
      </c>
      <c r="G49" s="246">
        <v>-625</v>
      </c>
      <c r="H49" s="246">
        <v>-291</v>
      </c>
      <c r="I49" s="224">
        <f t="shared" ref="I49:M51" si="3">I226</f>
        <v>-441.83270249999987</v>
      </c>
      <c r="J49" s="224">
        <f t="shared" si="3"/>
        <v>-285.45964118100073</v>
      </c>
      <c r="K49" s="224">
        <f t="shared" si="3"/>
        <v>-296.99221068471161</v>
      </c>
      <c r="L49" s="224">
        <f t="shared" si="3"/>
        <v>-269.98444476910936</v>
      </c>
      <c r="M49" s="224">
        <f t="shared" si="3"/>
        <v>-239.32968049884767</v>
      </c>
      <c r="O49" s="69"/>
      <c r="P49" s="44"/>
    </row>
    <row r="50" spans="1:16" ht="15" customHeight="1" outlineLevel="1">
      <c r="A50" s="60"/>
      <c r="B50" s="385" t="s">
        <v>198</v>
      </c>
      <c r="C50" s="72"/>
      <c r="F50" s="246">
        <v>-400</v>
      </c>
      <c r="G50" s="246">
        <v>-131</v>
      </c>
      <c r="H50" s="246">
        <v>-86</v>
      </c>
      <c r="I50" s="224">
        <f t="shared" si="3"/>
        <v>169.53252951541094</v>
      </c>
      <c r="J50" s="224">
        <f t="shared" si="3"/>
        <v>-63.639470581862724</v>
      </c>
      <c r="K50" s="224">
        <f t="shared" si="3"/>
        <v>-65.976500290565127</v>
      </c>
      <c r="L50" s="224">
        <f t="shared" si="3"/>
        <v>-56.192697419352726</v>
      </c>
      <c r="M50" s="224">
        <f t="shared" si="3"/>
        <v>-57.878751414523549</v>
      </c>
      <c r="O50" s="69"/>
      <c r="P50" s="44"/>
    </row>
    <row r="51" spans="1:16" ht="15" customHeight="1" outlineLevel="1">
      <c r="A51" s="60"/>
      <c r="B51" s="385" t="s">
        <v>197</v>
      </c>
      <c r="C51" s="72"/>
      <c r="F51" s="246">
        <v>-260</v>
      </c>
      <c r="G51" s="246">
        <v>181</v>
      </c>
      <c r="H51" s="246">
        <v>114</v>
      </c>
      <c r="I51" s="224">
        <f t="shared" si="3"/>
        <v>-375.85204722465778</v>
      </c>
      <c r="J51" s="224">
        <f t="shared" si="3"/>
        <v>101.82315293098054</v>
      </c>
      <c r="K51" s="224">
        <f t="shared" si="3"/>
        <v>105.56240046490439</v>
      </c>
      <c r="L51" s="224">
        <f t="shared" si="3"/>
        <v>89.908315870964088</v>
      </c>
      <c r="M51" s="224">
        <f t="shared" si="3"/>
        <v>92.60600226323777</v>
      </c>
      <c r="O51" s="69"/>
      <c r="P51" s="44"/>
    </row>
    <row r="52" spans="1:16" ht="15" customHeight="1" outlineLevel="1">
      <c r="A52" s="60"/>
      <c r="B52" s="72" t="s">
        <v>154</v>
      </c>
      <c r="C52" s="72"/>
      <c r="F52" s="382">
        <v>15655.7</v>
      </c>
      <c r="G52" s="382">
        <v>16011.850599999998</v>
      </c>
      <c r="H52" s="382">
        <v>17391.448499999999</v>
      </c>
      <c r="I52" s="381">
        <f>SUM(I46:I51)</f>
        <v>17133.518124888258</v>
      </c>
      <c r="J52" s="381">
        <f>SUM(J46:J51)</f>
        <v>17796.57217957429</v>
      </c>
      <c r="K52" s="381">
        <f>SUM(K46:K51)</f>
        <v>18830.350311241236</v>
      </c>
      <c r="L52" s="381">
        <f>SUM(L46:L51)</f>
        <v>19798.191209659948</v>
      </c>
      <c r="M52" s="381">
        <f>SUM(M46:M51)</f>
        <v>20593.70566388921</v>
      </c>
      <c r="O52" s="69"/>
      <c r="P52" s="193"/>
    </row>
    <row r="53" spans="1:16" ht="15" customHeight="1" outlineLevel="1">
      <c r="A53" s="60"/>
      <c r="B53" s="61" t="s">
        <v>193</v>
      </c>
      <c r="C53" s="61"/>
      <c r="F53" s="384"/>
      <c r="G53" s="384"/>
      <c r="H53" s="384"/>
      <c r="I53" s="383"/>
      <c r="J53" s="383"/>
      <c r="K53" s="383"/>
      <c r="L53" s="383"/>
      <c r="M53" s="383"/>
      <c r="P53" s="44"/>
    </row>
    <row r="54" spans="1:16" ht="15" customHeight="1" outlineLevel="1">
      <c r="A54" s="60"/>
      <c r="B54" s="61"/>
      <c r="C54" s="61"/>
      <c r="F54" s="384"/>
      <c r="G54" s="384"/>
      <c r="H54" s="384"/>
      <c r="I54" s="383"/>
      <c r="J54" s="383"/>
      <c r="K54" s="383"/>
      <c r="L54" s="383"/>
      <c r="M54" s="383"/>
      <c r="P54" s="44"/>
    </row>
    <row r="55" spans="1:16" ht="15" customHeight="1" outlineLevel="1">
      <c r="A55" s="60"/>
      <c r="B55" s="74" t="s">
        <v>196</v>
      </c>
      <c r="C55" s="74"/>
      <c r="F55" s="384"/>
      <c r="G55" s="384"/>
      <c r="H55" s="384"/>
      <c r="I55" s="383"/>
      <c r="J55" s="383"/>
      <c r="K55" s="383"/>
      <c r="L55" s="383"/>
      <c r="M55" s="383"/>
      <c r="P55" s="44"/>
    </row>
    <row r="56" spans="1:16" ht="15" customHeight="1" outlineLevel="1">
      <c r="A56" s="60"/>
      <c r="B56" s="72" t="s">
        <v>64</v>
      </c>
      <c r="C56" s="72"/>
      <c r="F56" s="246">
        <v>-9014.9999999999927</v>
      </c>
      <c r="G56" s="246">
        <v>-11733.000000000005</v>
      </c>
      <c r="H56" s="246">
        <v>-11130</v>
      </c>
      <c r="I56" s="320">
        <f>-Inputs!H24</f>
        <v>-23000</v>
      </c>
      <c r="J56" s="320">
        <f>-Inputs!I24</f>
        <v>-6450</v>
      </c>
      <c r="K56" s="320">
        <f>-Inputs!J24</f>
        <v>-6600</v>
      </c>
      <c r="L56" s="320">
        <f>-Inputs!K24</f>
        <v>-6900</v>
      </c>
      <c r="M56" s="320">
        <f>-Inputs!L24</f>
        <v>-7200</v>
      </c>
      <c r="O56" s="69"/>
      <c r="P56" s="44"/>
    </row>
    <row r="57" spans="1:16" ht="15" customHeight="1" outlineLevel="1">
      <c r="A57" s="60"/>
      <c r="B57" s="72" t="s">
        <v>154</v>
      </c>
      <c r="C57" s="72"/>
      <c r="F57" s="382">
        <v>-9014.9999999999927</v>
      </c>
      <c r="G57" s="382">
        <v>-11733.000000000005</v>
      </c>
      <c r="H57" s="382">
        <v>-11130</v>
      </c>
      <c r="I57" s="381">
        <f>SUM(I56)</f>
        <v>-23000</v>
      </c>
      <c r="J57" s="381">
        <f>SUM(J56)</f>
        <v>-6450</v>
      </c>
      <c r="K57" s="381">
        <f>SUM(K56)</f>
        <v>-6600</v>
      </c>
      <c r="L57" s="381">
        <f>SUM(L56)</f>
        <v>-6900</v>
      </c>
      <c r="M57" s="381">
        <f>SUM(M56)</f>
        <v>-7200</v>
      </c>
      <c r="O57" s="69"/>
      <c r="P57" s="193"/>
    </row>
    <row r="58" spans="1:16" ht="15" customHeight="1" outlineLevel="1">
      <c r="A58" s="60"/>
      <c r="B58" s="61" t="s">
        <v>193</v>
      </c>
      <c r="C58" s="61"/>
      <c r="F58" s="246"/>
      <c r="G58" s="246"/>
      <c r="H58" s="246"/>
      <c r="I58" s="320"/>
      <c r="J58" s="320"/>
      <c r="K58" s="320"/>
      <c r="L58" s="320"/>
      <c r="M58" s="320"/>
      <c r="P58" s="44"/>
    </row>
    <row r="59" spans="1:16" ht="15" customHeight="1" outlineLevel="1">
      <c r="A59" s="60"/>
      <c r="B59" s="61"/>
      <c r="C59" s="61"/>
      <c r="F59" s="246"/>
      <c r="G59" s="246"/>
      <c r="H59" s="246"/>
      <c r="I59" s="320"/>
      <c r="J59" s="320"/>
      <c r="K59" s="320"/>
      <c r="L59" s="320"/>
      <c r="M59" s="320"/>
      <c r="P59" s="44"/>
    </row>
    <row r="60" spans="1:16" ht="15" customHeight="1" outlineLevel="1">
      <c r="A60" s="60"/>
      <c r="B60" s="74" t="s">
        <v>195</v>
      </c>
      <c r="C60" s="74"/>
      <c r="F60" s="246"/>
      <c r="G60" s="246"/>
      <c r="H60" s="246"/>
      <c r="I60" s="320"/>
      <c r="J60" s="320"/>
      <c r="K60" s="320"/>
      <c r="L60" s="320"/>
      <c r="M60" s="320"/>
      <c r="P60" s="44"/>
    </row>
    <row r="61" spans="1:16" ht="15" customHeight="1" outlineLevel="1">
      <c r="A61" s="60"/>
      <c r="B61" s="72" t="s">
        <v>86</v>
      </c>
      <c r="C61" s="72"/>
      <c r="F61" s="246">
        <v>0</v>
      </c>
      <c r="G61" s="246">
        <v>-4000</v>
      </c>
      <c r="H61" s="246">
        <v>-4000</v>
      </c>
      <c r="I61" s="224">
        <f>I371</f>
        <v>-4000</v>
      </c>
      <c r="J61" s="224">
        <f>J371</f>
        <v>-4000</v>
      </c>
      <c r="K61" s="224">
        <f>K371</f>
        <v>-4000</v>
      </c>
      <c r="L61" s="224">
        <f>L371</f>
        <v>-4000</v>
      </c>
      <c r="M61" s="224">
        <f>M371</f>
        <v>-4000</v>
      </c>
      <c r="O61" s="69"/>
      <c r="P61" s="44"/>
    </row>
    <row r="62" spans="1:16" ht="15" customHeight="1" outlineLevel="1">
      <c r="A62" s="60"/>
      <c r="B62" s="72" t="s">
        <v>194</v>
      </c>
      <c r="C62" s="72"/>
      <c r="F62" s="246">
        <v>0</v>
      </c>
      <c r="G62" s="246">
        <v>0</v>
      </c>
      <c r="H62" s="246">
        <v>0</v>
      </c>
      <c r="I62" s="224">
        <f>I403</f>
        <v>4656.6865941312408</v>
      </c>
      <c r="J62" s="224">
        <f>J403</f>
        <v>-4101.6529518930547</v>
      </c>
      <c r="K62" s="224">
        <f>K403</f>
        <v>-555.03364223818608</v>
      </c>
      <c r="L62" s="224">
        <f>L403</f>
        <v>0</v>
      </c>
      <c r="M62" s="224">
        <f>M403</f>
        <v>0</v>
      </c>
      <c r="O62" s="69"/>
      <c r="P62" s="44"/>
    </row>
    <row r="63" spans="1:16" ht="15" customHeight="1" outlineLevel="1">
      <c r="A63" s="60"/>
      <c r="B63" s="72" t="s">
        <v>85</v>
      </c>
      <c r="C63" s="72"/>
      <c r="F63" s="246">
        <v>0</v>
      </c>
      <c r="G63" s="246">
        <v>0</v>
      </c>
      <c r="H63" s="246">
        <v>0</v>
      </c>
      <c r="I63" s="320">
        <f>I428</f>
        <v>-1000</v>
      </c>
      <c r="J63" s="320">
        <f>J428</f>
        <v>-1000</v>
      </c>
      <c r="K63" s="320">
        <f>K428</f>
        <v>-1000</v>
      </c>
      <c r="L63" s="320">
        <f>L428</f>
        <v>-1000</v>
      </c>
      <c r="M63" s="320">
        <f>M428</f>
        <v>-1000</v>
      </c>
      <c r="O63" s="69"/>
      <c r="P63" s="44"/>
    </row>
    <row r="64" spans="1:16" ht="15" customHeight="1" outlineLevel="1">
      <c r="A64" s="60"/>
      <c r="B64" s="72" t="s">
        <v>72</v>
      </c>
      <c r="C64" s="72"/>
      <c r="F64" s="246">
        <v>-3465</v>
      </c>
      <c r="G64" s="246">
        <v>-3761</v>
      </c>
      <c r="H64" s="246">
        <v>-3216</v>
      </c>
      <c r="I64" s="320">
        <f>-I433</f>
        <v>-2200.2038190195003</v>
      </c>
      <c r="J64" s="320">
        <f>-J433</f>
        <v>-2244.919227681235</v>
      </c>
      <c r="K64" s="320">
        <f>-K433</f>
        <v>-2427.3705468503226</v>
      </c>
      <c r="L64" s="320">
        <f>-L433</f>
        <v>-2583.8791588204895</v>
      </c>
      <c r="M64" s="320">
        <f>-M433</f>
        <v>-2696.8540100891187</v>
      </c>
      <c r="O64" s="69"/>
      <c r="P64" s="44"/>
    </row>
    <row r="65" spans="1:16" ht="15" customHeight="1" outlineLevel="1">
      <c r="A65" s="60"/>
      <c r="B65" s="72" t="s">
        <v>154</v>
      </c>
      <c r="C65" s="72"/>
      <c r="F65" s="382">
        <v>-3465</v>
      </c>
      <c r="G65" s="382">
        <v>-7761</v>
      </c>
      <c r="H65" s="382">
        <v>-7216</v>
      </c>
      <c r="I65" s="381">
        <f>SUM(I61:I64)</f>
        <v>-2543.5172248882595</v>
      </c>
      <c r="J65" s="381">
        <f>SUM(J61:J64)</f>
        <v>-11346.57217957429</v>
      </c>
      <c r="K65" s="381">
        <f>SUM(K61:K64)</f>
        <v>-7982.4041890885092</v>
      </c>
      <c r="L65" s="381">
        <f>SUM(L61:L64)</f>
        <v>-7583.8791588204895</v>
      </c>
      <c r="M65" s="381">
        <f>SUM(M61:M64)</f>
        <v>-7696.8540100891187</v>
      </c>
      <c r="O65" s="69"/>
      <c r="P65" s="193"/>
    </row>
    <row r="66" spans="1:16" ht="15" customHeight="1" outlineLevel="1">
      <c r="A66" s="60"/>
      <c r="B66" s="61" t="s">
        <v>193</v>
      </c>
      <c r="C66" s="61"/>
      <c r="F66" s="246"/>
      <c r="G66" s="246"/>
      <c r="H66" s="246"/>
      <c r="I66" s="375"/>
      <c r="J66" s="375"/>
      <c r="K66" s="320"/>
      <c r="L66" s="320"/>
      <c r="M66" s="320"/>
      <c r="P66" s="44"/>
    </row>
    <row r="67" spans="1:16" ht="15" customHeight="1" outlineLevel="1">
      <c r="A67" s="60"/>
      <c r="B67" s="61"/>
      <c r="C67" s="61"/>
      <c r="F67" s="246"/>
      <c r="G67" s="246"/>
      <c r="H67" s="246"/>
      <c r="I67" s="375"/>
      <c r="J67" s="375"/>
      <c r="K67" s="320"/>
      <c r="L67" s="320"/>
      <c r="M67" s="320"/>
      <c r="P67" s="44"/>
    </row>
    <row r="68" spans="1:16" ht="15" customHeight="1" outlineLevel="1">
      <c r="A68" s="60"/>
      <c r="B68" s="74" t="s">
        <v>192</v>
      </c>
      <c r="C68" s="74"/>
      <c r="F68" s="246"/>
      <c r="G68" s="246"/>
      <c r="H68" s="246"/>
      <c r="I68" s="320"/>
      <c r="J68" s="320"/>
      <c r="K68" s="320"/>
      <c r="L68" s="320"/>
      <c r="M68" s="320"/>
      <c r="P68" s="44"/>
    </row>
    <row r="69" spans="1:16" ht="15" customHeight="1" outlineLevel="1">
      <c r="A69" s="60"/>
      <c r="B69" s="72" t="s">
        <v>191</v>
      </c>
      <c r="C69" s="72"/>
      <c r="F69" s="246">
        <v>9671</v>
      </c>
      <c r="G69" s="246">
        <v>12846.700000000008</v>
      </c>
      <c r="H69" s="246">
        <v>9364.5506000000005</v>
      </c>
      <c r="I69" s="320">
        <f>H71</f>
        <v>8409.9990999999991</v>
      </c>
      <c r="J69" s="320">
        <f>I71</f>
        <v>0</v>
      </c>
      <c r="K69" s="320">
        <f>J71</f>
        <v>0</v>
      </c>
      <c r="L69" s="320">
        <f>K71</f>
        <v>4247.9461221527272</v>
      </c>
      <c r="M69" s="320">
        <f>L71</f>
        <v>9562.2581729921858</v>
      </c>
      <c r="O69" s="69"/>
      <c r="P69" s="193"/>
    </row>
    <row r="70" spans="1:16" ht="15" customHeight="1" outlineLevel="1">
      <c r="A70" s="60"/>
      <c r="B70" s="72" t="s">
        <v>53</v>
      </c>
      <c r="C70" s="72"/>
      <c r="F70" s="246">
        <v>3175.700000000008</v>
      </c>
      <c r="G70" s="246">
        <v>-3482.1494000000075</v>
      </c>
      <c r="H70" s="246">
        <v>-954.5515000000014</v>
      </c>
      <c r="I70" s="320">
        <f>I52+I57+I65</f>
        <v>-8409.9991000000009</v>
      </c>
      <c r="J70" s="320">
        <f>J52+J57+J65</f>
        <v>0</v>
      </c>
      <c r="K70" s="320">
        <f>K52+K57+K65</f>
        <v>4247.9461221527272</v>
      </c>
      <c r="L70" s="320">
        <f>L52+L57+L65</f>
        <v>5314.3120508394586</v>
      </c>
      <c r="M70" s="320">
        <f>M52+M57+M65</f>
        <v>5696.8516538000913</v>
      </c>
      <c r="O70" s="69"/>
      <c r="P70" s="193"/>
    </row>
    <row r="71" spans="1:16" ht="15" customHeight="1" outlineLevel="1" thickBot="1">
      <c r="A71" s="60"/>
      <c r="B71" s="72" t="s">
        <v>190</v>
      </c>
      <c r="C71" s="72"/>
      <c r="F71" s="380">
        <v>12846.700000000008</v>
      </c>
      <c r="G71" s="380">
        <v>9364.5506000000005</v>
      </c>
      <c r="H71" s="380">
        <v>8409.9990999999991</v>
      </c>
      <c r="I71" s="379">
        <f>SUM(I69:I70)</f>
        <v>0</v>
      </c>
      <c r="J71" s="379">
        <f>SUM(J69:J70)</f>
        <v>0</v>
      </c>
      <c r="K71" s="379">
        <f>SUM(K69:K70)</f>
        <v>4247.9461221527272</v>
      </c>
      <c r="L71" s="379">
        <f>SUM(L69:L70)</f>
        <v>9562.2581729921858</v>
      </c>
      <c r="M71" s="379">
        <f>SUM(M69:M70)</f>
        <v>15259.109826792277</v>
      </c>
      <c r="O71" s="69"/>
      <c r="P71" s="193"/>
    </row>
    <row r="72" spans="1:16" ht="15" customHeight="1" outlineLevel="1">
      <c r="A72" s="60"/>
      <c r="B72" s="254"/>
      <c r="C72" s="93"/>
      <c r="D72" s="92"/>
      <c r="E72" s="92"/>
      <c r="F72" s="349"/>
      <c r="G72" s="349"/>
      <c r="H72" s="349"/>
      <c r="I72" s="349"/>
      <c r="J72" s="349"/>
      <c r="K72" s="349"/>
      <c r="L72" s="349"/>
      <c r="M72" s="349"/>
      <c r="P72" s="44"/>
    </row>
    <row r="73" spans="1:16" s="60" customFormat="1" ht="15" customHeight="1" outlineLevel="1">
      <c r="B73" s="323"/>
      <c r="C73" s="323"/>
      <c r="D73" s="322"/>
      <c r="E73" s="322"/>
      <c r="F73" s="362"/>
      <c r="G73" s="362"/>
      <c r="H73" s="362"/>
      <c r="I73" s="362"/>
      <c r="J73" s="362"/>
      <c r="K73" s="362"/>
      <c r="L73" s="362"/>
      <c r="M73" s="362"/>
    </row>
    <row r="74" spans="1:16" s="60" customFormat="1" ht="15" customHeight="1">
      <c r="B74" s="254"/>
      <c r="C74" s="318"/>
      <c r="D74" s="317"/>
      <c r="E74" s="61"/>
      <c r="F74" s="224"/>
      <c r="G74" s="224"/>
      <c r="H74" s="224"/>
      <c r="I74" s="224"/>
      <c r="J74" s="224"/>
      <c r="K74" s="224"/>
      <c r="L74" s="224"/>
      <c r="M74" s="224"/>
      <c r="N74" s="44"/>
      <c r="O74" s="44"/>
    </row>
    <row r="75" spans="1:16" s="194" customFormat="1" ht="15" customHeight="1">
      <c r="A75" s="60" t="s">
        <v>0</v>
      </c>
      <c r="B75" s="98" t="s">
        <v>189</v>
      </c>
      <c r="C75" s="97"/>
      <c r="D75" s="96"/>
      <c r="E75" s="96"/>
      <c r="F75" s="95"/>
      <c r="G75" s="95"/>
      <c r="H75" s="95"/>
      <c r="I75" s="95"/>
      <c r="J75" s="95"/>
      <c r="K75" s="95"/>
      <c r="L75" s="95"/>
      <c r="M75" s="95"/>
      <c r="P75" s="193"/>
    </row>
    <row r="76" spans="1:16" s="194" customFormat="1" ht="15" customHeight="1" outlineLevel="1">
      <c r="B76" s="192"/>
      <c r="C76" s="93"/>
      <c r="D76" s="191"/>
      <c r="E76" s="191"/>
      <c r="F76" s="190"/>
      <c r="G76" s="190"/>
      <c r="H76" s="190"/>
      <c r="I76" s="190"/>
      <c r="J76" s="190"/>
      <c r="K76" s="190"/>
      <c r="L76" s="190"/>
      <c r="M76" s="190"/>
    </row>
    <row r="77" spans="1:16" s="194" customFormat="1" ht="15" customHeight="1" outlineLevel="1" thickBot="1">
      <c r="B77" s="94" t="s">
        <v>28</v>
      </c>
      <c r="C77" s="93"/>
      <c r="D77" s="92"/>
      <c r="E77" s="92"/>
      <c r="F77" s="208">
        <f t="shared" ref="F77:M77" si="4">F$5</f>
        <v>2020</v>
      </c>
      <c r="G77" s="208">
        <f t="shared" si="4"/>
        <v>2021</v>
      </c>
      <c r="H77" s="208">
        <f t="shared" si="4"/>
        <v>2022</v>
      </c>
      <c r="I77" s="150">
        <f t="shared" si="4"/>
        <v>2023</v>
      </c>
      <c r="J77" s="150">
        <f t="shared" si="4"/>
        <v>2024</v>
      </c>
      <c r="K77" s="150">
        <f t="shared" si="4"/>
        <v>2025</v>
      </c>
      <c r="L77" s="150">
        <f t="shared" si="4"/>
        <v>2026</v>
      </c>
      <c r="M77" s="150">
        <f t="shared" si="4"/>
        <v>2027</v>
      </c>
    </row>
    <row r="78" spans="1:16" ht="15" customHeight="1" outlineLevel="1">
      <c r="A78" s="60"/>
      <c r="B78" s="94" t="str">
        <f>B$6</f>
        <v>Model Running: Best Case Drivers</v>
      </c>
      <c r="C78" s="93"/>
      <c r="D78" s="92"/>
      <c r="E78" s="92"/>
      <c r="F78" s="92"/>
      <c r="G78" s="92"/>
      <c r="H78" s="92"/>
      <c r="I78" s="203"/>
      <c r="J78" s="203"/>
      <c r="K78" s="203"/>
      <c r="L78" s="203"/>
      <c r="M78" s="203"/>
      <c r="P78" s="44"/>
    </row>
    <row r="79" spans="1:16" ht="15" customHeight="1" outlineLevel="1">
      <c r="A79" s="60"/>
      <c r="B79" s="94"/>
      <c r="C79" s="93"/>
      <c r="D79" s="92"/>
      <c r="E79" s="92"/>
      <c r="F79" s="92"/>
      <c r="G79" s="92"/>
      <c r="H79" s="92"/>
      <c r="I79" s="203"/>
      <c r="J79" s="203"/>
      <c r="K79" s="203"/>
      <c r="L79" s="203"/>
      <c r="M79" s="203"/>
      <c r="P79" s="44"/>
    </row>
    <row r="80" spans="1:16" ht="15" customHeight="1" outlineLevel="1">
      <c r="A80" s="60"/>
      <c r="B80" s="74" t="s">
        <v>188</v>
      </c>
      <c r="C80" s="74"/>
      <c r="F80" s="325"/>
      <c r="G80" s="325"/>
      <c r="H80" s="325"/>
      <c r="I80" s="320"/>
      <c r="J80" s="320"/>
      <c r="K80" s="320"/>
      <c r="L80" s="320"/>
      <c r="M80" s="320"/>
      <c r="P80" s="44"/>
    </row>
    <row r="81" spans="1:16" ht="15" customHeight="1" outlineLevel="1">
      <c r="A81" s="60"/>
      <c r="B81" s="74"/>
      <c r="C81" s="74"/>
      <c r="F81" s="325"/>
      <c r="G81" s="325"/>
      <c r="H81" s="325"/>
      <c r="I81" s="320"/>
      <c r="J81" s="320"/>
      <c r="K81" s="320"/>
      <c r="L81" s="320"/>
      <c r="M81" s="320"/>
      <c r="P81" s="44"/>
    </row>
    <row r="82" spans="1:16" ht="15" customHeight="1" outlineLevel="1">
      <c r="A82" s="60"/>
      <c r="B82" s="72" t="s">
        <v>187</v>
      </c>
      <c r="C82" s="72"/>
      <c r="F82" s="374">
        <v>12846.700000000008</v>
      </c>
      <c r="G82" s="374">
        <v>9364.5506000000005</v>
      </c>
      <c r="H82" s="374">
        <v>8409.9990999999991</v>
      </c>
      <c r="I82" s="71">
        <f>I71</f>
        <v>0</v>
      </c>
      <c r="J82" s="71">
        <f>J71</f>
        <v>0</v>
      </c>
      <c r="K82" s="71">
        <f>K71</f>
        <v>4247.9461221527272</v>
      </c>
      <c r="L82" s="71">
        <f>L71</f>
        <v>9562.2581729921858</v>
      </c>
      <c r="M82" s="71">
        <f>M71</f>
        <v>15259.109826792277</v>
      </c>
      <c r="O82" s="69"/>
      <c r="P82" s="193"/>
    </row>
    <row r="83" spans="1:16" ht="15" customHeight="1" outlineLevel="1">
      <c r="A83" s="60"/>
      <c r="B83" s="72" t="s">
        <v>61</v>
      </c>
      <c r="C83" s="72"/>
      <c r="F83" s="374">
        <v>5708</v>
      </c>
      <c r="G83" s="374">
        <v>6333</v>
      </c>
      <c r="H83" s="374">
        <v>6624</v>
      </c>
      <c r="I83" s="376">
        <f t="shared" ref="I83:M84" si="5">I218</f>
        <v>7065.8327024999999</v>
      </c>
      <c r="J83" s="376">
        <f t="shared" si="5"/>
        <v>7351.2923436810006</v>
      </c>
      <c r="K83" s="376">
        <f t="shared" si="5"/>
        <v>7648.2845543657122</v>
      </c>
      <c r="L83" s="376">
        <f t="shared" si="5"/>
        <v>7918.2689991348216</v>
      </c>
      <c r="M83" s="376">
        <f t="shared" si="5"/>
        <v>8157.5986796336692</v>
      </c>
      <c r="O83" s="69"/>
      <c r="P83" s="44"/>
    </row>
    <row r="84" spans="1:16" ht="15" customHeight="1" outlineLevel="1">
      <c r="A84" s="60"/>
      <c r="B84" s="72" t="s">
        <v>186</v>
      </c>
      <c r="C84" s="72"/>
      <c r="F84" s="378">
        <v>1792</v>
      </c>
      <c r="G84" s="378">
        <v>1923</v>
      </c>
      <c r="H84" s="378">
        <v>2009</v>
      </c>
      <c r="I84" s="377">
        <f t="shared" si="5"/>
        <v>1839.4674704845891</v>
      </c>
      <c r="J84" s="377">
        <f t="shared" si="5"/>
        <v>1903.1069410664518</v>
      </c>
      <c r="K84" s="377">
        <f t="shared" si="5"/>
        <v>1969.0834413570169</v>
      </c>
      <c r="L84" s="377">
        <f t="shared" si="5"/>
        <v>2025.2761387763696</v>
      </c>
      <c r="M84" s="377">
        <f t="shared" si="5"/>
        <v>2083.1548901908932</v>
      </c>
      <c r="O84" s="69"/>
      <c r="P84" s="44"/>
    </row>
    <row r="85" spans="1:16" ht="15" customHeight="1" outlineLevel="1">
      <c r="A85" s="60"/>
      <c r="B85" s="72" t="s">
        <v>185</v>
      </c>
      <c r="C85" s="72"/>
      <c r="F85" s="374">
        <v>20346.700000000008</v>
      </c>
      <c r="G85" s="374">
        <v>17620.550600000002</v>
      </c>
      <c r="H85" s="374">
        <v>17042.999100000001</v>
      </c>
      <c r="I85" s="376">
        <f>SUM(I82:I84)</f>
        <v>8905.3001729845892</v>
      </c>
      <c r="J85" s="376">
        <f>SUM(J82:J84)</f>
        <v>9254.3992847474528</v>
      </c>
      <c r="K85" s="376">
        <f>SUM(K82:K84)</f>
        <v>13865.314117875458</v>
      </c>
      <c r="L85" s="376">
        <f>SUM(L82:L84)</f>
        <v>19505.803310903379</v>
      </c>
      <c r="M85" s="376">
        <f>SUM(M82:M84)</f>
        <v>25499.863396616838</v>
      </c>
      <c r="O85" s="69"/>
      <c r="P85" s="193"/>
    </row>
    <row r="86" spans="1:16" ht="15" customHeight="1" outlineLevel="1">
      <c r="A86" s="60"/>
      <c r="B86" s="367"/>
      <c r="C86" s="367"/>
      <c r="F86" s="373"/>
      <c r="G86" s="373"/>
      <c r="H86" s="373"/>
      <c r="I86" s="195"/>
      <c r="J86" s="195"/>
      <c r="K86" s="195"/>
      <c r="L86" s="195"/>
      <c r="M86" s="195"/>
      <c r="P86" s="44"/>
    </row>
    <row r="87" spans="1:16" ht="15" customHeight="1" outlineLevel="1">
      <c r="A87" s="60"/>
      <c r="B87" s="72" t="s">
        <v>184</v>
      </c>
      <c r="C87" s="72"/>
      <c r="F87" s="373">
        <v>59192</v>
      </c>
      <c r="G87" s="373">
        <v>67729</v>
      </c>
      <c r="H87" s="373">
        <v>75407</v>
      </c>
      <c r="I87" s="195">
        <f>I294</f>
        <v>93119.0625</v>
      </c>
      <c r="J87" s="195">
        <f>J294</f>
        <v>93544.875</v>
      </c>
      <c r="K87" s="195">
        <f>K294</f>
        <v>93794.4375</v>
      </c>
      <c r="L87" s="195">
        <f>L294</f>
        <v>94006.5</v>
      </c>
      <c r="M87" s="195">
        <f>M294</f>
        <v>94166.0625</v>
      </c>
      <c r="O87" s="69"/>
      <c r="P87" s="193"/>
    </row>
    <row r="88" spans="1:16" ht="15" customHeight="1" outlineLevel="1">
      <c r="A88" s="60"/>
      <c r="B88" s="72"/>
      <c r="C88" s="72"/>
      <c r="D88" s="375"/>
      <c r="F88" s="373"/>
      <c r="G88" s="373"/>
      <c r="H88" s="373"/>
      <c r="I88" s="195"/>
      <c r="J88" s="195"/>
      <c r="K88" s="195"/>
      <c r="L88" s="195"/>
      <c r="M88" s="195"/>
      <c r="P88" s="44"/>
    </row>
    <row r="89" spans="1:16" ht="15" customHeight="1" outlineLevel="1">
      <c r="A89" s="60"/>
      <c r="B89" s="72"/>
      <c r="C89" s="72"/>
      <c r="D89" s="375"/>
      <c r="F89" s="373"/>
      <c r="G89" s="373"/>
      <c r="H89" s="373"/>
      <c r="I89" s="195"/>
      <c r="J89" s="195"/>
      <c r="K89" s="195"/>
      <c r="L89" s="195"/>
      <c r="M89" s="195"/>
      <c r="P89" s="44"/>
    </row>
    <row r="90" spans="1:16" ht="15" customHeight="1" outlineLevel="1" thickBot="1">
      <c r="A90" s="60"/>
      <c r="B90" s="72" t="s">
        <v>183</v>
      </c>
      <c r="C90" s="367"/>
      <c r="F90" s="366">
        <v>79538.700000000012</v>
      </c>
      <c r="G90" s="366">
        <v>85349.550600000002</v>
      </c>
      <c r="H90" s="366">
        <v>92449.999100000001</v>
      </c>
      <c r="I90" s="365">
        <f>SUM(I85:I87)</f>
        <v>102024.36267298459</v>
      </c>
      <c r="J90" s="365">
        <f>SUM(J85:J87)</f>
        <v>102799.27428474746</v>
      </c>
      <c r="K90" s="365">
        <f>SUM(K85:K87)</f>
        <v>107659.75161787546</v>
      </c>
      <c r="L90" s="365">
        <f>SUM(L85:L87)</f>
        <v>113512.30331090337</v>
      </c>
      <c r="M90" s="365">
        <f>SUM(M85:M87)</f>
        <v>119665.92589661684</v>
      </c>
      <c r="O90" s="69"/>
      <c r="P90" s="193"/>
    </row>
    <row r="91" spans="1:16" ht="15" customHeight="1" outlineLevel="1">
      <c r="A91" s="60"/>
      <c r="B91" s="61"/>
      <c r="C91" s="61"/>
      <c r="F91" s="373"/>
      <c r="G91" s="373"/>
      <c r="H91" s="373"/>
      <c r="I91" s="195"/>
      <c r="J91" s="195"/>
      <c r="K91" s="195"/>
      <c r="L91" s="195"/>
      <c r="M91" s="195"/>
      <c r="P91" s="44"/>
    </row>
    <row r="92" spans="1:16" ht="15" customHeight="1" outlineLevel="1">
      <c r="A92" s="60"/>
      <c r="B92" s="74"/>
      <c r="C92" s="74"/>
      <c r="F92" s="373"/>
      <c r="G92" s="373"/>
      <c r="H92" s="373"/>
      <c r="I92" s="195"/>
      <c r="J92" s="195"/>
      <c r="K92" s="195"/>
      <c r="L92" s="195"/>
      <c r="M92" s="195"/>
      <c r="P92" s="44"/>
    </row>
    <row r="93" spans="1:16" ht="15" customHeight="1" outlineLevel="1">
      <c r="A93" s="60"/>
      <c r="B93" s="74" t="s">
        <v>182</v>
      </c>
      <c r="C93" s="74"/>
      <c r="F93" s="373"/>
      <c r="G93" s="373"/>
      <c r="H93" s="373"/>
      <c r="I93" s="195"/>
      <c r="J93" s="195"/>
      <c r="K93" s="195"/>
      <c r="L93" s="195"/>
      <c r="M93" s="195"/>
      <c r="P93" s="44"/>
    </row>
    <row r="94" spans="1:16" ht="15" customHeight="1" outlineLevel="1">
      <c r="A94" s="60"/>
      <c r="B94" s="74"/>
      <c r="C94" s="74"/>
      <c r="F94" s="373"/>
      <c r="G94" s="373"/>
      <c r="H94" s="373"/>
      <c r="I94" s="195"/>
      <c r="J94" s="195"/>
      <c r="K94" s="195"/>
      <c r="L94" s="195"/>
      <c r="M94" s="195"/>
      <c r="P94" s="44"/>
    </row>
    <row r="95" spans="1:16" ht="15" customHeight="1" outlineLevel="1">
      <c r="A95" s="60"/>
      <c r="B95" s="72" t="s">
        <v>59</v>
      </c>
      <c r="C95" s="72"/>
      <c r="F95" s="373">
        <v>3024</v>
      </c>
      <c r="G95" s="373">
        <v>3205</v>
      </c>
      <c r="H95" s="373">
        <v>3319</v>
      </c>
      <c r="I95" s="195">
        <f>I220</f>
        <v>2943.1479527753422</v>
      </c>
      <c r="J95" s="195">
        <f>J220</f>
        <v>3044.9711057063228</v>
      </c>
      <c r="K95" s="195">
        <f>K220</f>
        <v>3150.5335061712271</v>
      </c>
      <c r="L95" s="195">
        <f>L220</f>
        <v>3240.4418220421912</v>
      </c>
      <c r="M95" s="195">
        <f>M220</f>
        <v>3333.047824305429</v>
      </c>
      <c r="O95" s="69"/>
      <c r="P95" s="44"/>
    </row>
    <row r="96" spans="1:16" ht="15" customHeight="1" outlineLevel="1">
      <c r="A96" s="60"/>
      <c r="B96" s="72" t="s">
        <v>34</v>
      </c>
      <c r="C96" s="72"/>
      <c r="D96" s="246"/>
      <c r="F96" s="374">
        <v>0</v>
      </c>
      <c r="G96" s="374">
        <v>0</v>
      </c>
      <c r="H96" s="374">
        <v>0</v>
      </c>
      <c r="I96" s="71">
        <f>I404</f>
        <v>4656.6865941312408</v>
      </c>
      <c r="J96" s="71">
        <f>J404</f>
        <v>555.03364223818608</v>
      </c>
      <c r="K96" s="71">
        <f>K404</f>
        <v>0</v>
      </c>
      <c r="L96" s="71">
        <f>L404</f>
        <v>0</v>
      </c>
      <c r="M96" s="71">
        <f>M404</f>
        <v>0</v>
      </c>
      <c r="O96" s="69"/>
      <c r="P96" s="193"/>
    </row>
    <row r="97" spans="1:16" ht="15" customHeight="1" outlineLevel="1">
      <c r="A97" s="60"/>
      <c r="B97" s="72" t="s">
        <v>181</v>
      </c>
      <c r="C97" s="72"/>
      <c r="F97" s="371">
        <v>3024</v>
      </c>
      <c r="G97" s="371">
        <v>3205</v>
      </c>
      <c r="H97" s="371">
        <v>3319</v>
      </c>
      <c r="I97" s="370">
        <f>SUM(I95:I96)</f>
        <v>7599.8345469065825</v>
      </c>
      <c r="J97" s="370">
        <f>SUM(J95:J96)</f>
        <v>3600.0047479445088</v>
      </c>
      <c r="K97" s="370">
        <f>SUM(K95:K96)</f>
        <v>3150.5335061712271</v>
      </c>
      <c r="L97" s="370">
        <f>SUM(L95:L96)</f>
        <v>3240.4418220421912</v>
      </c>
      <c r="M97" s="370">
        <f>SUM(M95:M96)</f>
        <v>3333.047824305429</v>
      </c>
      <c r="O97" s="69"/>
      <c r="P97" s="193"/>
    </row>
    <row r="98" spans="1:16" ht="15" customHeight="1" outlineLevel="1">
      <c r="A98" s="60"/>
      <c r="B98" s="367"/>
      <c r="C98" s="367"/>
      <c r="F98" s="373"/>
      <c r="G98" s="373"/>
      <c r="H98" s="373"/>
      <c r="I98" s="195"/>
      <c r="J98" s="195"/>
      <c r="K98" s="195"/>
      <c r="L98" s="195"/>
      <c r="M98" s="195"/>
      <c r="P98" s="44"/>
    </row>
    <row r="99" spans="1:16" ht="15" customHeight="1" outlineLevel="1">
      <c r="A99" s="60"/>
      <c r="B99" s="72" t="s">
        <v>99</v>
      </c>
      <c r="C99" s="72"/>
      <c r="F99" s="373">
        <v>4155</v>
      </c>
      <c r="G99" s="373">
        <v>7016</v>
      </c>
      <c r="H99" s="373">
        <v>10028</v>
      </c>
      <c r="I99" s="372">
        <f>H99+I341</f>
        <v>11520.713750000001</v>
      </c>
      <c r="J99" s="372">
        <f>I99+J341</f>
        <v>12315.778250000001</v>
      </c>
      <c r="K99" s="372">
        <f>J99+K341</f>
        <v>12916.2446375</v>
      </c>
      <c r="L99" s="372">
        <f>K99+L341</f>
        <v>13343.371379374999</v>
      </c>
      <c r="M99" s="372">
        <f>L99+M341</f>
        <v>13616.971922468751</v>
      </c>
      <c r="O99" s="69"/>
      <c r="P99" s="193"/>
    </row>
    <row r="100" spans="1:16" ht="15" customHeight="1" outlineLevel="1">
      <c r="A100" s="60"/>
      <c r="B100" s="72" t="s">
        <v>180</v>
      </c>
      <c r="C100" s="72"/>
      <c r="F100" s="373">
        <v>28000</v>
      </c>
      <c r="G100" s="373">
        <v>24000</v>
      </c>
      <c r="H100" s="373">
        <v>20000</v>
      </c>
      <c r="I100" s="195">
        <f>I372</f>
        <v>16000</v>
      </c>
      <c r="J100" s="195">
        <f>J372</f>
        <v>12000</v>
      </c>
      <c r="K100" s="195">
        <f>K372</f>
        <v>8000</v>
      </c>
      <c r="L100" s="195">
        <f>L372</f>
        <v>4000</v>
      </c>
      <c r="M100" s="195">
        <f>M372</f>
        <v>0</v>
      </c>
      <c r="O100" s="69"/>
      <c r="P100" s="193"/>
    </row>
    <row r="101" spans="1:16" ht="15" customHeight="1" outlineLevel="1">
      <c r="A101" s="60"/>
      <c r="B101" s="72" t="s">
        <v>179</v>
      </c>
      <c r="C101" s="72"/>
      <c r="F101" s="371">
        <v>35179</v>
      </c>
      <c r="G101" s="371">
        <v>34221</v>
      </c>
      <c r="H101" s="371">
        <v>33347</v>
      </c>
      <c r="I101" s="370">
        <f>SUM(I97:I100)</f>
        <v>35120.548296906585</v>
      </c>
      <c r="J101" s="370">
        <f>SUM(J97:J100)</f>
        <v>27915.782997944509</v>
      </c>
      <c r="K101" s="370">
        <f>SUM(K97:K100)</f>
        <v>24066.778143671225</v>
      </c>
      <c r="L101" s="370">
        <f>SUM(L97:L100)</f>
        <v>20583.81320141719</v>
      </c>
      <c r="M101" s="370">
        <f>SUM(M97:M100)</f>
        <v>16950.019746774178</v>
      </c>
      <c r="O101" s="69"/>
      <c r="P101" s="193"/>
    </row>
    <row r="102" spans="1:16" ht="15" customHeight="1" outlineLevel="1">
      <c r="A102" s="60"/>
      <c r="B102" s="367"/>
      <c r="C102" s="367"/>
      <c r="F102" s="373"/>
      <c r="G102" s="373"/>
      <c r="H102" s="373"/>
      <c r="I102" s="195"/>
      <c r="J102" s="195"/>
      <c r="K102" s="195"/>
      <c r="L102" s="195"/>
      <c r="M102" s="195"/>
      <c r="P102" s="44"/>
    </row>
    <row r="103" spans="1:16" ht="15" customHeight="1" outlineLevel="1">
      <c r="A103" s="60"/>
      <c r="B103" s="367"/>
      <c r="C103" s="367"/>
      <c r="F103" s="373"/>
      <c r="G103" s="373"/>
      <c r="H103" s="373"/>
      <c r="I103" s="195"/>
      <c r="J103" s="195"/>
      <c r="K103" s="195"/>
      <c r="L103" s="195"/>
      <c r="M103" s="195"/>
      <c r="P103" s="44"/>
    </row>
    <row r="104" spans="1:16" ht="15" customHeight="1" outlineLevel="1">
      <c r="A104" s="60"/>
      <c r="B104" s="74" t="s">
        <v>178</v>
      </c>
      <c r="C104" s="74"/>
      <c r="F104" s="373"/>
      <c r="G104" s="373"/>
      <c r="H104" s="373"/>
      <c r="I104" s="195"/>
      <c r="J104" s="195"/>
      <c r="K104" s="195"/>
      <c r="L104" s="195"/>
      <c r="M104" s="195"/>
      <c r="P104" s="44"/>
    </row>
    <row r="105" spans="1:16" ht="15" customHeight="1" outlineLevel="1">
      <c r="A105" s="60"/>
      <c r="B105" s="74"/>
      <c r="C105" s="74"/>
      <c r="F105" s="373"/>
      <c r="G105" s="373"/>
      <c r="H105" s="373"/>
      <c r="I105" s="195"/>
      <c r="J105" s="195"/>
      <c r="K105" s="195"/>
      <c r="L105" s="195"/>
      <c r="M105" s="195"/>
      <c r="P105" s="44"/>
    </row>
    <row r="106" spans="1:16" ht="15" customHeight="1" outlineLevel="1">
      <c r="A106" s="60"/>
      <c r="B106" s="72" t="s">
        <v>54</v>
      </c>
      <c r="C106" s="72"/>
      <c r="F106" s="373">
        <v>38669.700000000084</v>
      </c>
      <c r="G106" s="373">
        <v>38669.700000000084</v>
      </c>
      <c r="H106" s="373">
        <v>38669.700000000084</v>
      </c>
      <c r="I106" s="372">
        <f>I429</f>
        <v>37669.700000000084</v>
      </c>
      <c r="J106" s="372">
        <f>J429</f>
        <v>36669.700000000084</v>
      </c>
      <c r="K106" s="372">
        <f>K429</f>
        <v>35669.700000000084</v>
      </c>
      <c r="L106" s="372">
        <f>L429</f>
        <v>34669.700000000084</v>
      </c>
      <c r="M106" s="372">
        <f>M429</f>
        <v>33669.700000000084</v>
      </c>
      <c r="O106" s="69"/>
      <c r="P106" s="193"/>
    </row>
    <row r="107" spans="1:16" ht="15" customHeight="1" outlineLevel="1">
      <c r="A107" s="60"/>
      <c r="B107" s="72" t="s">
        <v>177</v>
      </c>
      <c r="C107" s="72"/>
      <c r="F107" s="373">
        <v>5690</v>
      </c>
      <c r="G107" s="373">
        <v>12458.850599999998</v>
      </c>
      <c r="H107" s="373">
        <v>20433.299099999997</v>
      </c>
      <c r="I107" s="372">
        <f>I443</f>
        <v>29234.114376077996</v>
      </c>
      <c r="J107" s="372">
        <f>J443</f>
        <v>38213.791286802938</v>
      </c>
      <c r="K107" s="372">
        <f>K443</f>
        <v>47923.273474204223</v>
      </c>
      <c r="L107" s="372">
        <f>L443</f>
        <v>58258.790109486174</v>
      </c>
      <c r="M107" s="372">
        <f>M443</f>
        <v>69046.206149842648</v>
      </c>
      <c r="O107" s="69"/>
      <c r="P107" s="193"/>
    </row>
    <row r="108" spans="1:16" ht="15" customHeight="1" outlineLevel="1">
      <c r="A108" s="60"/>
      <c r="B108" s="72" t="s">
        <v>176</v>
      </c>
      <c r="C108" s="72"/>
      <c r="F108" s="371">
        <v>44359.700000000084</v>
      </c>
      <c r="G108" s="371">
        <v>51128.550600000082</v>
      </c>
      <c r="H108" s="371">
        <v>59102.999100000081</v>
      </c>
      <c r="I108" s="370">
        <f>SUM(I106:I107)</f>
        <v>66903.81437607808</v>
      </c>
      <c r="J108" s="370">
        <f>SUM(J106:J107)</f>
        <v>74883.491286803022</v>
      </c>
      <c r="K108" s="370">
        <f>SUM(K106:K107)</f>
        <v>83592.973474204307</v>
      </c>
      <c r="L108" s="370">
        <f>SUM(L106:L107)</f>
        <v>92928.490109486258</v>
      </c>
      <c r="M108" s="370">
        <f>SUM(M106:M107)</f>
        <v>102715.90614984273</v>
      </c>
      <c r="O108" s="69"/>
      <c r="P108" s="193"/>
    </row>
    <row r="109" spans="1:16" ht="15" customHeight="1" outlineLevel="1">
      <c r="A109" s="60"/>
      <c r="B109" s="367"/>
      <c r="C109" s="367"/>
      <c r="F109" s="369"/>
      <c r="G109" s="369"/>
      <c r="H109" s="369"/>
      <c r="I109" s="368"/>
      <c r="J109" s="368"/>
      <c r="K109" s="368"/>
      <c r="L109" s="368"/>
      <c r="M109" s="368"/>
      <c r="P109" s="44"/>
    </row>
    <row r="110" spans="1:16" ht="15" customHeight="1" outlineLevel="1">
      <c r="A110" s="60"/>
      <c r="B110" s="367"/>
      <c r="C110" s="367"/>
      <c r="F110" s="369"/>
      <c r="G110" s="369"/>
      <c r="H110" s="369"/>
      <c r="I110" s="368"/>
      <c r="J110" s="368"/>
      <c r="K110" s="368"/>
      <c r="L110" s="368"/>
      <c r="M110" s="368"/>
      <c r="P110" s="44"/>
    </row>
    <row r="111" spans="1:16" ht="15" customHeight="1" outlineLevel="1" thickBot="1">
      <c r="A111" s="60"/>
      <c r="B111" s="72" t="s">
        <v>175</v>
      </c>
      <c r="C111" s="367"/>
      <c r="F111" s="366">
        <v>79538.700000000084</v>
      </c>
      <c r="G111" s="366">
        <v>85349.550600000075</v>
      </c>
      <c r="H111" s="366">
        <v>92449.999100000074</v>
      </c>
      <c r="I111" s="365">
        <f>I108+I101</f>
        <v>102024.36267298466</v>
      </c>
      <c r="J111" s="365">
        <f>J108+J101</f>
        <v>102799.27428474753</v>
      </c>
      <c r="K111" s="365">
        <f>K108+K101</f>
        <v>107659.75161787553</v>
      </c>
      <c r="L111" s="365">
        <f>L108+L101</f>
        <v>113512.30331090344</v>
      </c>
      <c r="M111" s="365">
        <f>M108+M101</f>
        <v>119665.92589661691</v>
      </c>
      <c r="O111" s="69"/>
      <c r="P111" s="193"/>
    </row>
    <row r="112" spans="1:16" ht="15" customHeight="1" outlineLevel="1">
      <c r="A112" s="60"/>
      <c r="B112" s="61"/>
      <c r="C112" s="61"/>
      <c r="F112" s="195"/>
      <c r="G112" s="195"/>
      <c r="H112" s="195"/>
      <c r="I112" s="320"/>
      <c r="J112" s="320"/>
      <c r="K112" s="320"/>
      <c r="L112" s="320"/>
      <c r="M112" s="320"/>
      <c r="P112" s="44"/>
    </row>
    <row r="113" spans="1:16" ht="15" customHeight="1" outlineLevel="1">
      <c r="A113" s="60"/>
      <c r="B113" s="61"/>
      <c r="C113" s="61"/>
      <c r="F113" s="195"/>
      <c r="G113" s="195"/>
      <c r="H113" s="195"/>
      <c r="I113" s="320"/>
      <c r="J113" s="320"/>
      <c r="K113" s="320"/>
      <c r="L113" s="320"/>
      <c r="M113" s="320"/>
    </row>
    <row r="114" spans="1:16" ht="15" customHeight="1" outlineLevel="1">
      <c r="A114" s="60"/>
      <c r="B114" s="364" t="s">
        <v>174</v>
      </c>
      <c r="C114" s="364"/>
      <c r="F114" s="363">
        <f t="shared" ref="F114:M114" si="6">ROUND(F111-F90,0)</f>
        <v>0</v>
      </c>
      <c r="G114" s="363">
        <f t="shared" si="6"/>
        <v>0</v>
      </c>
      <c r="H114" s="363">
        <f t="shared" si="6"/>
        <v>0</v>
      </c>
      <c r="I114" s="363">
        <f t="shared" si="6"/>
        <v>0</v>
      </c>
      <c r="J114" s="363">
        <f t="shared" si="6"/>
        <v>0</v>
      </c>
      <c r="K114" s="363">
        <f t="shared" si="6"/>
        <v>0</v>
      </c>
      <c r="L114" s="363">
        <f t="shared" si="6"/>
        <v>0</v>
      </c>
      <c r="M114" s="363">
        <f t="shared" si="6"/>
        <v>0</v>
      </c>
      <c r="O114" s="23"/>
    </row>
    <row r="115" spans="1:16" ht="15" customHeight="1" outlineLevel="1">
      <c r="A115" s="60"/>
      <c r="B115" s="94"/>
      <c r="C115" s="93"/>
      <c r="D115" s="92"/>
      <c r="E115" s="92"/>
      <c r="F115" s="92"/>
      <c r="G115" s="92"/>
      <c r="H115" s="92"/>
      <c r="I115" s="203"/>
      <c r="J115" s="203"/>
      <c r="K115" s="203"/>
      <c r="L115" s="203"/>
      <c r="M115" s="203"/>
      <c r="P115" s="44"/>
    </row>
    <row r="116" spans="1:16" s="60" customFormat="1" ht="15" customHeight="1" outlineLevel="1">
      <c r="B116" s="323"/>
      <c r="C116" s="323"/>
      <c r="D116" s="322"/>
      <c r="E116" s="322"/>
      <c r="F116" s="362"/>
      <c r="G116" s="362"/>
      <c r="H116" s="362"/>
      <c r="I116" s="362"/>
      <c r="J116" s="362"/>
      <c r="K116" s="362"/>
      <c r="L116" s="362"/>
      <c r="M116" s="362"/>
    </row>
    <row r="117" spans="1:16" s="60" customFormat="1" ht="15" customHeight="1">
      <c r="B117" s="254"/>
      <c r="C117" s="318"/>
      <c r="D117" s="317"/>
      <c r="E117" s="61"/>
      <c r="F117" s="224"/>
      <c r="G117" s="224"/>
      <c r="H117" s="224"/>
      <c r="I117" s="224"/>
      <c r="J117" s="224"/>
      <c r="K117" s="224"/>
      <c r="L117" s="224"/>
      <c r="M117" s="224"/>
      <c r="N117" s="44"/>
      <c r="O117" s="44"/>
    </row>
    <row r="118" spans="1:16" ht="15" customHeight="1">
      <c r="A118" s="113" t="s">
        <v>0</v>
      </c>
      <c r="B118" s="98" t="s">
        <v>173</v>
      </c>
      <c r="C118" s="97"/>
      <c r="D118" s="96"/>
      <c r="E118" s="96"/>
      <c r="F118" s="95"/>
      <c r="G118" s="95"/>
      <c r="H118" s="95"/>
      <c r="I118" s="95"/>
      <c r="J118" s="95"/>
      <c r="K118" s="95"/>
      <c r="L118" s="95"/>
      <c r="M118" s="95"/>
      <c r="P118" s="166"/>
    </row>
    <row r="119" spans="1:16" ht="15" customHeight="1" outlineLevel="1">
      <c r="A119" s="361"/>
      <c r="B119" s="134"/>
      <c r="C119" s="93"/>
      <c r="D119" s="191"/>
      <c r="E119" s="191"/>
      <c r="F119" s="190"/>
      <c r="G119" s="190"/>
      <c r="H119" s="190"/>
      <c r="I119" s="190"/>
      <c r="J119" s="190"/>
      <c r="K119" s="190"/>
      <c r="L119" s="190"/>
      <c r="M119" s="190"/>
      <c r="P119" s="166"/>
    </row>
    <row r="120" spans="1:16" ht="15" customHeight="1" outlineLevel="1" thickBot="1">
      <c r="A120" s="113"/>
      <c r="B120" s="94" t="s">
        <v>28</v>
      </c>
      <c r="C120" s="93"/>
      <c r="D120" s="92"/>
      <c r="E120" s="92"/>
      <c r="F120" s="208">
        <f t="shared" ref="F120:M120" si="7">F$5</f>
        <v>2020</v>
      </c>
      <c r="G120" s="208">
        <f t="shared" si="7"/>
        <v>2021</v>
      </c>
      <c r="H120" s="208">
        <f t="shared" si="7"/>
        <v>2022</v>
      </c>
      <c r="I120" s="150">
        <f t="shared" si="7"/>
        <v>2023</v>
      </c>
      <c r="J120" s="150">
        <f t="shared" si="7"/>
        <v>2024</v>
      </c>
      <c r="K120" s="150">
        <f t="shared" si="7"/>
        <v>2025</v>
      </c>
      <c r="L120" s="150">
        <f t="shared" si="7"/>
        <v>2026</v>
      </c>
      <c r="M120" s="150">
        <f t="shared" si="7"/>
        <v>2027</v>
      </c>
    </row>
    <row r="121" spans="1:16" ht="15" customHeight="1" outlineLevel="1">
      <c r="A121" s="113"/>
      <c r="B121" s="94" t="str">
        <f>B$6</f>
        <v>Model Running: Best Case Drivers</v>
      </c>
      <c r="C121" s="93"/>
      <c r="D121" s="92"/>
      <c r="E121" s="92"/>
      <c r="F121" s="92"/>
      <c r="G121" s="92"/>
      <c r="H121" s="92"/>
      <c r="I121" s="203"/>
      <c r="J121" s="203"/>
      <c r="K121" s="203"/>
      <c r="L121" s="203"/>
      <c r="M121" s="203"/>
      <c r="P121" s="166"/>
    </row>
    <row r="122" spans="1:16" ht="15" customHeight="1" outlineLevel="1">
      <c r="A122" s="113"/>
      <c r="C122" s="93"/>
      <c r="D122" s="92"/>
      <c r="E122" s="92"/>
      <c r="F122" s="92"/>
      <c r="G122" s="92"/>
      <c r="H122" s="92"/>
      <c r="I122" s="203"/>
      <c r="J122" s="203"/>
      <c r="K122" s="203"/>
      <c r="L122" s="203"/>
      <c r="M122" s="203"/>
      <c r="P122" s="166"/>
    </row>
    <row r="123" spans="1:16" ht="15" customHeight="1" outlineLevel="1">
      <c r="A123" s="113"/>
      <c r="C123" s="93"/>
      <c r="D123" s="92"/>
      <c r="E123" s="92"/>
      <c r="F123" s="92"/>
      <c r="G123" s="92"/>
      <c r="H123" s="92"/>
      <c r="I123" s="203"/>
      <c r="J123" s="203"/>
      <c r="K123" s="203"/>
      <c r="L123" s="203"/>
      <c r="M123" s="203"/>
      <c r="P123" s="166"/>
    </row>
    <row r="124" spans="1:16" s="60" customFormat="1" ht="15" customHeight="1" outlineLevel="1">
      <c r="B124" s="88" t="s">
        <v>172</v>
      </c>
      <c r="C124" s="318"/>
      <c r="D124" s="317"/>
      <c r="E124" s="61"/>
      <c r="F124" s="360"/>
      <c r="G124" s="224"/>
      <c r="H124" s="224"/>
      <c r="I124" s="194"/>
      <c r="J124" s="194"/>
      <c r="K124" s="194"/>
      <c r="L124" s="194"/>
      <c r="M124" s="194"/>
      <c r="P124" s="44"/>
    </row>
    <row r="125" spans="1:16" s="60" customFormat="1" ht="15" customHeight="1" outlineLevel="1">
      <c r="B125" s="254"/>
      <c r="C125" s="318"/>
      <c r="D125" s="317"/>
      <c r="E125" s="61"/>
      <c r="F125" s="224"/>
      <c r="G125" s="224"/>
      <c r="H125" s="224"/>
      <c r="I125" s="224"/>
      <c r="J125" s="224"/>
      <c r="K125" s="224"/>
      <c r="L125" s="224"/>
      <c r="M125" s="224"/>
      <c r="P125" s="44"/>
    </row>
    <row r="126" spans="1:16" ht="15" customHeight="1" outlineLevel="1">
      <c r="A126" s="194"/>
      <c r="B126" s="128" t="s">
        <v>69</v>
      </c>
      <c r="C126" s="93"/>
      <c r="D126" s="92"/>
      <c r="E126" s="92"/>
      <c r="F126" s="92"/>
      <c r="G126" s="349">
        <f>G128/F128-1</f>
        <v>7.1428571428566734E-4</v>
      </c>
      <c r="H126" s="349">
        <f>H128/G128-1</f>
        <v>2.0699500356887945E-2</v>
      </c>
      <c r="I126" s="349">
        <f>Inputs!H10</f>
        <v>0.03</v>
      </c>
      <c r="J126" s="349">
        <f>Inputs!I10</f>
        <v>0.02</v>
      </c>
      <c r="K126" s="349">
        <f>Inputs!J10</f>
        <v>0.02</v>
      </c>
      <c r="L126" s="349">
        <f>Inputs!K10</f>
        <v>1.4999999999999999E-2</v>
      </c>
      <c r="M126" s="349">
        <f>Inputs!L10</f>
        <v>1.4999999999999999E-2</v>
      </c>
      <c r="O126" s="69"/>
    </row>
    <row r="127" spans="1:16" ht="15" customHeight="1" outlineLevel="1">
      <c r="A127" s="194"/>
      <c r="B127" s="128"/>
      <c r="C127" s="93"/>
      <c r="D127" s="92"/>
      <c r="E127" s="92"/>
      <c r="F127" s="92"/>
      <c r="G127" s="349"/>
      <c r="H127" s="349"/>
      <c r="I127" s="359"/>
      <c r="J127" s="359"/>
      <c r="K127" s="359"/>
      <c r="L127" s="359"/>
      <c r="M127" s="359"/>
    </row>
    <row r="128" spans="1:16" ht="15" customHeight="1" outlineLevel="1">
      <c r="A128" s="194"/>
      <c r="B128" s="128" t="s">
        <v>162</v>
      </c>
      <c r="C128" s="93"/>
      <c r="D128" s="317" t="s">
        <v>40</v>
      </c>
      <c r="E128" s="92"/>
      <c r="F128" s="312">
        <v>1400</v>
      </c>
      <c r="G128" s="312">
        <v>1401</v>
      </c>
      <c r="H128" s="312">
        <v>1430</v>
      </c>
      <c r="I128" s="200">
        <f>H128*(1+I126)</f>
        <v>1472.9</v>
      </c>
      <c r="J128" s="200">
        <f>I128*(1+J126)</f>
        <v>1502.3580000000002</v>
      </c>
      <c r="K128" s="200">
        <f>J128*(1+K126)</f>
        <v>1532.4051600000003</v>
      </c>
      <c r="L128" s="200">
        <f>K128*(1+L126)</f>
        <v>1555.3912374000001</v>
      </c>
      <c r="M128" s="200">
        <f>L128*(1+M126)</f>
        <v>1578.7221059609999</v>
      </c>
      <c r="P128" s="44"/>
    </row>
    <row r="129" spans="1:16" s="60" customFormat="1" ht="15" customHeight="1" outlineLevel="1">
      <c r="B129" s="128" t="s">
        <v>41</v>
      </c>
      <c r="C129" s="318"/>
      <c r="D129" s="317" t="s">
        <v>40</v>
      </c>
      <c r="E129" s="61"/>
      <c r="F129" s="312">
        <v>1500</v>
      </c>
      <c r="G129" s="312">
        <v>1500</v>
      </c>
      <c r="H129" s="312">
        <v>1500</v>
      </c>
      <c r="I129" s="200">
        <f>Inputs!$F$57</f>
        <v>1600</v>
      </c>
      <c r="J129" s="200">
        <f>I129</f>
        <v>1600</v>
      </c>
      <c r="K129" s="200">
        <f>J129</f>
        <v>1600</v>
      </c>
      <c r="L129" s="200">
        <f>K129</f>
        <v>1600</v>
      </c>
      <c r="M129" s="200">
        <f>L129</f>
        <v>1600</v>
      </c>
      <c r="P129" s="166"/>
    </row>
    <row r="130" spans="1:16" s="60" customFormat="1" ht="15" customHeight="1" outlineLevel="1">
      <c r="B130" s="128" t="s">
        <v>171</v>
      </c>
      <c r="C130" s="93"/>
      <c r="D130" s="92"/>
      <c r="E130" s="92"/>
      <c r="F130" s="358">
        <f t="shared" ref="F130:M130" si="8">F128/F129</f>
        <v>0.93333333333333335</v>
      </c>
      <c r="G130" s="358">
        <f t="shared" si="8"/>
        <v>0.93400000000000005</v>
      </c>
      <c r="H130" s="358">
        <f t="shared" si="8"/>
        <v>0.95333333333333337</v>
      </c>
      <c r="I130" s="358">
        <f t="shared" si="8"/>
        <v>0.92056250000000006</v>
      </c>
      <c r="J130" s="358">
        <f t="shared" si="8"/>
        <v>0.93897375000000016</v>
      </c>
      <c r="K130" s="358">
        <f t="shared" si="8"/>
        <v>0.95775322500000015</v>
      </c>
      <c r="L130" s="358">
        <f t="shared" si="8"/>
        <v>0.97211952337500007</v>
      </c>
      <c r="M130" s="358">
        <f t="shared" si="8"/>
        <v>0.98670131622562496</v>
      </c>
      <c r="P130" s="44"/>
    </row>
    <row r="131" spans="1:16" ht="15" customHeight="1" outlineLevel="1">
      <c r="A131" s="194"/>
      <c r="C131" s="93"/>
      <c r="D131" s="317"/>
      <c r="E131" s="92"/>
      <c r="F131" s="200"/>
      <c r="G131" s="200"/>
      <c r="H131" s="200"/>
      <c r="I131" s="200"/>
      <c r="J131" s="200"/>
      <c r="K131" s="200"/>
      <c r="L131" s="200"/>
      <c r="M131" s="200"/>
    </row>
    <row r="132" spans="1:16" ht="15" customHeight="1" outlineLevel="1">
      <c r="A132" s="194"/>
      <c r="B132" s="58"/>
      <c r="C132" s="198"/>
      <c r="D132" s="307"/>
      <c r="E132" s="197"/>
      <c r="F132" s="201"/>
      <c r="G132" s="201"/>
      <c r="H132" s="201"/>
      <c r="I132" s="201"/>
      <c r="J132" s="201"/>
      <c r="K132" s="201"/>
      <c r="L132" s="201"/>
      <c r="M132" s="201"/>
    </row>
    <row r="133" spans="1:16" ht="15" customHeight="1" outlineLevel="1">
      <c r="A133" s="194"/>
      <c r="B133" s="94"/>
      <c r="C133" s="93"/>
      <c r="D133" s="92"/>
      <c r="E133" s="92"/>
      <c r="F133" s="92"/>
      <c r="G133" s="92"/>
      <c r="H133" s="92"/>
      <c r="I133" s="194"/>
      <c r="J133" s="194"/>
      <c r="K133" s="194"/>
      <c r="L133" s="194"/>
      <c r="M133" s="194"/>
      <c r="P133" s="44"/>
    </row>
    <row r="134" spans="1:16" s="60" customFormat="1" ht="15" customHeight="1" outlineLevel="1">
      <c r="B134" s="88" t="s">
        <v>170</v>
      </c>
      <c r="C134" s="318"/>
      <c r="D134" s="317"/>
      <c r="E134" s="61"/>
      <c r="F134" s="224"/>
      <c r="G134" s="224"/>
      <c r="H134" s="224"/>
      <c r="I134" s="224"/>
      <c r="J134" s="224"/>
      <c r="K134" s="224"/>
      <c r="L134" s="224"/>
      <c r="M134" s="224"/>
      <c r="P134" s="44"/>
    </row>
    <row r="135" spans="1:16" s="60" customFormat="1" ht="15" customHeight="1" outlineLevel="1">
      <c r="B135" s="254"/>
      <c r="C135" s="318"/>
      <c r="D135" s="317"/>
      <c r="E135" s="61"/>
      <c r="F135" s="224"/>
      <c r="G135" s="224"/>
      <c r="H135" s="224"/>
      <c r="I135" s="224"/>
      <c r="J135" s="224"/>
      <c r="K135" s="224"/>
      <c r="L135" s="224"/>
      <c r="M135" s="224"/>
      <c r="P135" s="44"/>
    </row>
    <row r="136" spans="1:16" ht="15" customHeight="1" outlineLevel="1">
      <c r="A136" s="194"/>
      <c r="B136" s="128" t="s">
        <v>47</v>
      </c>
      <c r="C136" s="93"/>
      <c r="D136" s="92"/>
      <c r="E136" s="92"/>
      <c r="F136" s="312">
        <v>365</v>
      </c>
      <c r="G136" s="312">
        <v>365</v>
      </c>
      <c r="H136" s="312">
        <v>365</v>
      </c>
      <c r="I136" s="200">
        <f>Inputs!$F$53</f>
        <v>365</v>
      </c>
      <c r="J136" s="200">
        <f>I136</f>
        <v>365</v>
      </c>
      <c r="K136" s="200">
        <f>J136</f>
        <v>365</v>
      </c>
      <c r="L136" s="200">
        <f>K136</f>
        <v>365</v>
      </c>
      <c r="M136" s="200">
        <f>L136</f>
        <v>365</v>
      </c>
      <c r="P136" s="44"/>
    </row>
    <row r="137" spans="1:16" ht="15" customHeight="1" outlineLevel="1">
      <c r="A137" s="194"/>
      <c r="B137" s="128" t="s">
        <v>162</v>
      </c>
      <c r="C137" s="93"/>
      <c r="D137" s="317" t="s">
        <v>40</v>
      </c>
      <c r="E137" s="92"/>
      <c r="F137" s="201">
        <f t="shared" ref="F137:M137" si="9">F128</f>
        <v>1400</v>
      </c>
      <c r="G137" s="201">
        <f t="shared" si="9"/>
        <v>1401</v>
      </c>
      <c r="H137" s="201">
        <f t="shared" si="9"/>
        <v>1430</v>
      </c>
      <c r="I137" s="200">
        <f t="shared" si="9"/>
        <v>1472.9</v>
      </c>
      <c r="J137" s="201">
        <f t="shared" si="9"/>
        <v>1502.3580000000002</v>
      </c>
      <c r="K137" s="201">
        <f t="shared" si="9"/>
        <v>1532.4051600000003</v>
      </c>
      <c r="L137" s="201">
        <f t="shared" si="9"/>
        <v>1555.3912374000001</v>
      </c>
      <c r="M137" s="201">
        <f t="shared" si="9"/>
        <v>1578.7221059609999</v>
      </c>
      <c r="P137" s="44"/>
    </row>
    <row r="138" spans="1:16" ht="15" customHeight="1" outlineLevel="1">
      <c r="A138" s="194"/>
      <c r="B138" s="128" t="s">
        <v>162</v>
      </c>
      <c r="C138" s="93"/>
      <c r="D138" s="317" t="s">
        <v>166</v>
      </c>
      <c r="E138" s="92"/>
      <c r="F138" s="200">
        <f t="shared" ref="F138:M138" si="10">F137*F136</f>
        <v>511000</v>
      </c>
      <c r="G138" s="200">
        <f t="shared" si="10"/>
        <v>511365</v>
      </c>
      <c r="H138" s="200">
        <f t="shared" si="10"/>
        <v>521950</v>
      </c>
      <c r="I138" s="243">
        <f t="shared" si="10"/>
        <v>537608.5</v>
      </c>
      <c r="J138" s="200">
        <f t="shared" si="10"/>
        <v>548360.67000000004</v>
      </c>
      <c r="K138" s="200">
        <f t="shared" si="10"/>
        <v>559327.88340000005</v>
      </c>
      <c r="L138" s="200">
        <f t="shared" si="10"/>
        <v>567717.80165100005</v>
      </c>
      <c r="M138" s="200">
        <f t="shared" si="10"/>
        <v>576233.56867576495</v>
      </c>
    </row>
    <row r="139" spans="1:16" ht="15" customHeight="1" outlineLevel="1">
      <c r="A139" s="194"/>
      <c r="B139" s="254"/>
      <c r="C139" s="93"/>
      <c r="D139" s="317"/>
      <c r="E139" s="92"/>
      <c r="F139" s="200"/>
      <c r="G139" s="200"/>
      <c r="H139" s="200"/>
      <c r="I139" s="339"/>
      <c r="J139" s="339"/>
      <c r="K139" s="339"/>
      <c r="L139" s="339"/>
      <c r="M139" s="339"/>
    </row>
    <row r="140" spans="1:16" ht="15" customHeight="1" outlineLevel="1">
      <c r="A140" s="194"/>
      <c r="B140" s="254"/>
      <c r="C140" s="93"/>
      <c r="D140" s="317"/>
      <c r="E140" s="92"/>
      <c r="F140" s="200"/>
      <c r="G140" s="200"/>
      <c r="H140" s="200"/>
      <c r="I140" s="339"/>
      <c r="J140" s="339"/>
      <c r="K140" s="339"/>
      <c r="L140" s="339"/>
      <c r="M140" s="339"/>
    </row>
    <row r="141" spans="1:16" s="60" customFormat="1" ht="15" customHeight="1" outlineLevel="1">
      <c r="B141" s="88" t="s">
        <v>169</v>
      </c>
      <c r="C141" s="318"/>
      <c r="D141" s="317"/>
      <c r="E141" s="317"/>
      <c r="F141" s="317"/>
      <c r="G141" s="317"/>
      <c r="H141" s="317"/>
      <c r="I141" s="317"/>
      <c r="J141" s="317"/>
      <c r="K141" s="317"/>
      <c r="L141" s="317"/>
      <c r="M141" s="200"/>
      <c r="P141" s="44"/>
    </row>
    <row r="142" spans="1:16" s="60" customFormat="1" ht="15" customHeight="1" outlineLevel="1">
      <c r="B142" s="254"/>
      <c r="C142" s="318"/>
      <c r="D142" s="317"/>
      <c r="E142" s="61"/>
      <c r="F142" s="224"/>
      <c r="G142" s="224"/>
      <c r="H142" s="224"/>
      <c r="I142" s="224"/>
      <c r="J142" s="224"/>
      <c r="K142" s="224"/>
      <c r="L142" s="224"/>
      <c r="M142" s="224"/>
      <c r="P142" s="44"/>
    </row>
    <row r="143" spans="1:16" ht="15" customHeight="1" outlineLevel="1">
      <c r="A143" s="194"/>
      <c r="B143" s="128" t="s">
        <v>65</v>
      </c>
      <c r="C143" s="93"/>
      <c r="D143" s="92"/>
      <c r="E143" s="92"/>
      <c r="F143" s="197"/>
      <c r="G143" s="352">
        <f>G144/F144-1</f>
        <v>2.020202020202011E-2</v>
      </c>
      <c r="H143" s="352">
        <f>H144/G144-1</f>
        <v>1.980198019801982E-2</v>
      </c>
      <c r="I143" s="352">
        <f>Inputs!H17</f>
        <v>3.5000000000000003E-2</v>
      </c>
      <c r="J143" s="352">
        <f>Inputs!I17</f>
        <v>0.02</v>
      </c>
      <c r="K143" s="352">
        <f>Inputs!J17</f>
        <v>0.02</v>
      </c>
      <c r="L143" s="352">
        <f>Inputs!K17</f>
        <v>0.02</v>
      </c>
      <c r="M143" s="352">
        <f>Inputs!L17</f>
        <v>1.4999999999999999E-2</v>
      </c>
      <c r="O143" s="69"/>
      <c r="P143" s="44"/>
    </row>
    <row r="144" spans="1:16" ht="15" customHeight="1" outlineLevel="1">
      <c r="A144" s="194"/>
      <c r="B144" s="128" t="s">
        <v>168</v>
      </c>
      <c r="C144" s="93"/>
      <c r="D144" s="317" t="s">
        <v>152</v>
      </c>
      <c r="E144" s="92"/>
      <c r="F144" s="347">
        <v>99</v>
      </c>
      <c r="G144" s="347">
        <v>101</v>
      </c>
      <c r="H144" s="347">
        <v>103</v>
      </c>
      <c r="I144" s="346">
        <f>H144*(1+I143)</f>
        <v>106.60499999999999</v>
      </c>
      <c r="J144" s="346">
        <f>I144*(1+J143)</f>
        <v>108.7371</v>
      </c>
      <c r="K144" s="346">
        <f>J144*(1+K143)</f>
        <v>110.91184199999999</v>
      </c>
      <c r="L144" s="346">
        <f>K144*(1+L143)</f>
        <v>113.13007884</v>
      </c>
      <c r="M144" s="346">
        <f>L144*(1+M143)</f>
        <v>114.82703002259998</v>
      </c>
    </row>
    <row r="145" spans="1:16" ht="15" customHeight="1" outlineLevel="1">
      <c r="A145" s="194"/>
      <c r="C145" s="93"/>
      <c r="D145" s="317"/>
      <c r="E145" s="92"/>
      <c r="F145" s="347"/>
      <c r="G145" s="347"/>
      <c r="H145" s="347"/>
      <c r="I145" s="346"/>
      <c r="J145" s="346"/>
      <c r="K145" s="346"/>
      <c r="L145" s="346"/>
      <c r="M145" s="346"/>
    </row>
    <row r="146" spans="1:16" ht="15" customHeight="1" outlineLevel="1">
      <c r="A146" s="194"/>
      <c r="C146" s="93"/>
      <c r="D146" s="317"/>
      <c r="E146" s="92"/>
      <c r="F146" s="347"/>
      <c r="G146" s="347"/>
      <c r="H146" s="347"/>
      <c r="I146" s="346"/>
      <c r="J146" s="346"/>
      <c r="K146" s="346"/>
      <c r="L146" s="346"/>
      <c r="M146" s="346"/>
    </row>
    <row r="147" spans="1:16" s="60" customFormat="1" ht="15" customHeight="1" outlineLevel="1">
      <c r="B147" s="88" t="s">
        <v>167</v>
      </c>
      <c r="C147" s="318"/>
      <c r="D147" s="317"/>
      <c r="E147" s="61"/>
      <c r="F147" s="224"/>
      <c r="G147" s="224"/>
      <c r="H147" s="224"/>
      <c r="I147" s="224"/>
      <c r="J147" s="224"/>
      <c r="K147" s="224"/>
      <c r="L147" s="224"/>
      <c r="M147" s="224"/>
      <c r="P147" s="44"/>
    </row>
    <row r="148" spans="1:16" s="60" customFormat="1" ht="15" customHeight="1" outlineLevel="1">
      <c r="B148" s="254"/>
      <c r="C148" s="318"/>
      <c r="D148" s="317"/>
      <c r="E148" s="61"/>
      <c r="F148" s="224"/>
      <c r="G148" s="224"/>
      <c r="H148" s="224"/>
      <c r="I148" s="224"/>
      <c r="J148" s="224"/>
      <c r="K148" s="224"/>
      <c r="L148" s="224"/>
      <c r="M148" s="224"/>
      <c r="P148" s="44"/>
    </row>
    <row r="149" spans="1:16" ht="15" customHeight="1" outlineLevel="1">
      <c r="A149" s="194"/>
      <c r="B149" s="128" t="s">
        <v>162</v>
      </c>
      <c r="C149" s="93"/>
      <c r="D149" s="317" t="s">
        <v>166</v>
      </c>
      <c r="E149" s="92"/>
      <c r="F149" s="200">
        <f t="shared" ref="F149:M149" si="11">F138</f>
        <v>511000</v>
      </c>
      <c r="G149" s="200">
        <f t="shared" si="11"/>
        <v>511365</v>
      </c>
      <c r="H149" s="200">
        <f t="shared" si="11"/>
        <v>521950</v>
      </c>
      <c r="I149" s="200">
        <f t="shared" si="11"/>
        <v>537608.5</v>
      </c>
      <c r="J149" s="200">
        <f t="shared" si="11"/>
        <v>548360.67000000004</v>
      </c>
      <c r="K149" s="200">
        <f t="shared" si="11"/>
        <v>559327.88340000005</v>
      </c>
      <c r="L149" s="200">
        <f t="shared" si="11"/>
        <v>567717.80165100005</v>
      </c>
      <c r="M149" s="200">
        <f t="shared" si="11"/>
        <v>576233.56867576495</v>
      </c>
      <c r="P149" s="44"/>
    </row>
    <row r="150" spans="1:16" ht="15" customHeight="1" outlineLevel="1">
      <c r="A150" s="194"/>
      <c r="B150" s="128" t="s">
        <v>165</v>
      </c>
      <c r="C150" s="93"/>
      <c r="D150" s="317" t="s">
        <v>152</v>
      </c>
      <c r="E150" s="92"/>
      <c r="F150" s="337">
        <f t="shared" ref="F150:M150" si="12">F144</f>
        <v>99</v>
      </c>
      <c r="G150" s="337">
        <f t="shared" si="12"/>
        <v>101</v>
      </c>
      <c r="H150" s="337">
        <f t="shared" si="12"/>
        <v>103</v>
      </c>
      <c r="I150" s="337">
        <f t="shared" si="12"/>
        <v>106.60499999999999</v>
      </c>
      <c r="J150" s="337">
        <f t="shared" si="12"/>
        <v>108.7371</v>
      </c>
      <c r="K150" s="337">
        <f t="shared" si="12"/>
        <v>110.91184199999999</v>
      </c>
      <c r="L150" s="337">
        <f t="shared" si="12"/>
        <v>113.13007884</v>
      </c>
      <c r="M150" s="337">
        <f t="shared" si="12"/>
        <v>114.82703002259998</v>
      </c>
    </row>
    <row r="151" spans="1:16" ht="15" customHeight="1" outlineLevel="1" thickBot="1">
      <c r="A151" s="194"/>
      <c r="B151" s="128" t="s">
        <v>26</v>
      </c>
      <c r="C151" s="93"/>
      <c r="D151" s="317"/>
      <c r="E151" s="92"/>
      <c r="F151" s="213">
        <f t="shared" ref="F151:M151" si="13">F149*F150/1000</f>
        <v>50589</v>
      </c>
      <c r="G151" s="213">
        <f t="shared" si="13"/>
        <v>51647.864999999998</v>
      </c>
      <c r="H151" s="213">
        <f t="shared" si="13"/>
        <v>53760.85</v>
      </c>
      <c r="I151" s="213">
        <f t="shared" si="13"/>
        <v>57311.754142500002</v>
      </c>
      <c r="J151" s="213">
        <f t="shared" si="13"/>
        <v>59627.149009857007</v>
      </c>
      <c r="K151" s="213">
        <f t="shared" si="13"/>
        <v>62036.085829855227</v>
      </c>
      <c r="L151" s="213">
        <f t="shared" si="13"/>
        <v>64225.95965964911</v>
      </c>
      <c r="M151" s="213">
        <f t="shared" si="13"/>
        <v>66167.189290361988</v>
      </c>
      <c r="P151" s="115"/>
    </row>
    <row r="152" spans="1:16" ht="15" customHeight="1" outlineLevel="1">
      <c r="A152" s="194"/>
      <c r="C152" s="93"/>
      <c r="D152" s="317"/>
      <c r="E152" s="92"/>
      <c r="F152" s="200"/>
      <c r="G152" s="200"/>
      <c r="H152" s="200"/>
      <c r="I152" s="200"/>
      <c r="J152" s="200"/>
      <c r="K152" s="200"/>
      <c r="L152" s="200"/>
      <c r="M152" s="200"/>
      <c r="P152" s="248"/>
    </row>
    <row r="153" spans="1:16" ht="15" customHeight="1" outlineLevel="1">
      <c r="A153" s="194"/>
      <c r="C153" s="93"/>
      <c r="D153" s="317"/>
      <c r="E153" s="92"/>
      <c r="F153" s="200"/>
      <c r="G153" s="200"/>
      <c r="H153" s="200"/>
      <c r="I153" s="200"/>
      <c r="J153" s="200"/>
      <c r="K153" s="200"/>
      <c r="L153" s="200"/>
      <c r="M153" s="200"/>
      <c r="P153" s="248"/>
    </row>
    <row r="154" spans="1:16" ht="15" customHeight="1" outlineLevel="1">
      <c r="A154" s="194"/>
      <c r="C154" s="93"/>
      <c r="D154" s="317"/>
      <c r="E154" s="92"/>
      <c r="F154" s="200"/>
      <c r="G154" s="200"/>
      <c r="H154" s="200"/>
      <c r="I154" s="200"/>
      <c r="J154" s="200"/>
      <c r="K154" s="200"/>
      <c r="L154" s="200"/>
      <c r="M154" s="200"/>
      <c r="P154" s="248"/>
    </row>
    <row r="155" spans="1:16" ht="15" customHeight="1" outlineLevel="1">
      <c r="A155" s="194"/>
      <c r="B155" s="254" t="s">
        <v>164</v>
      </c>
      <c r="C155" s="93"/>
      <c r="D155" s="357"/>
      <c r="E155" s="92"/>
      <c r="F155" s="356">
        <f t="shared" ref="F155:M155" si="14">IF(F130&gt;=1,1,0)</f>
        <v>0</v>
      </c>
      <c r="G155" s="355">
        <f t="shared" si="14"/>
        <v>0</v>
      </c>
      <c r="H155" s="355">
        <f t="shared" si="14"/>
        <v>0</v>
      </c>
      <c r="I155" s="355">
        <f t="shared" si="14"/>
        <v>0</v>
      </c>
      <c r="J155" s="355">
        <f t="shared" si="14"/>
        <v>0</v>
      </c>
      <c r="K155" s="355">
        <f t="shared" si="14"/>
        <v>0</v>
      </c>
      <c r="L155" s="355">
        <f t="shared" si="14"/>
        <v>0</v>
      </c>
      <c r="M155" s="354">
        <f t="shared" si="14"/>
        <v>0</v>
      </c>
      <c r="P155" s="193"/>
    </row>
    <row r="156" spans="1:16" ht="15" customHeight="1" outlineLevel="1">
      <c r="A156" s="194"/>
      <c r="B156" s="94"/>
      <c r="C156" s="93"/>
      <c r="D156" s="92"/>
      <c r="E156" s="92"/>
      <c r="F156" s="92"/>
      <c r="G156" s="92"/>
      <c r="H156" s="92"/>
      <c r="I156" s="194"/>
      <c r="J156" s="194"/>
      <c r="K156" s="194"/>
      <c r="L156" s="194"/>
      <c r="M156" s="194"/>
      <c r="P156" s="115"/>
    </row>
    <row r="157" spans="1:16" ht="15" customHeight="1" outlineLevel="1"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</row>
    <row r="158" spans="1:16" s="60" customFormat="1" ht="15" customHeight="1"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195"/>
      <c r="O158" s="195"/>
      <c r="P158" s="188"/>
    </row>
    <row r="159" spans="1:16" ht="15" customHeight="1">
      <c r="A159" s="60" t="s">
        <v>0</v>
      </c>
      <c r="B159" s="98" t="s">
        <v>163</v>
      </c>
      <c r="C159" s="97"/>
      <c r="D159" s="96"/>
      <c r="E159" s="96"/>
      <c r="F159" s="95"/>
      <c r="G159" s="95"/>
      <c r="H159" s="95"/>
      <c r="I159" s="95"/>
      <c r="J159" s="95"/>
      <c r="K159" s="95"/>
      <c r="L159" s="95"/>
      <c r="M159" s="95"/>
      <c r="N159" s="44"/>
      <c r="O159" s="44"/>
      <c r="P159" s="166"/>
    </row>
    <row r="160" spans="1:16" ht="15" customHeight="1" outlineLevel="1">
      <c r="A160" s="60"/>
      <c r="B160" s="192"/>
      <c r="C160" s="93"/>
      <c r="D160" s="191"/>
      <c r="E160" s="191"/>
      <c r="F160" s="190"/>
      <c r="G160" s="190"/>
      <c r="H160" s="190"/>
      <c r="I160" s="190"/>
      <c r="J160" s="190"/>
      <c r="K160" s="190"/>
      <c r="L160" s="190"/>
      <c r="M160" s="190"/>
    </row>
    <row r="161" spans="1:16" ht="15" customHeight="1" outlineLevel="1" thickBot="1">
      <c r="A161" s="60"/>
      <c r="B161" s="94" t="s">
        <v>28</v>
      </c>
      <c r="C161" s="93"/>
      <c r="D161" s="92"/>
      <c r="E161" s="92"/>
      <c r="F161" s="208">
        <f t="shared" ref="F161:M161" si="15">F$5</f>
        <v>2020</v>
      </c>
      <c r="G161" s="208">
        <f t="shared" si="15"/>
        <v>2021</v>
      </c>
      <c r="H161" s="208">
        <f t="shared" si="15"/>
        <v>2022</v>
      </c>
      <c r="I161" s="150">
        <f t="shared" si="15"/>
        <v>2023</v>
      </c>
      <c r="J161" s="150">
        <f t="shared" si="15"/>
        <v>2024</v>
      </c>
      <c r="K161" s="150">
        <f t="shared" si="15"/>
        <v>2025</v>
      </c>
      <c r="L161" s="150">
        <f t="shared" si="15"/>
        <v>2026</v>
      </c>
      <c r="M161" s="150">
        <f t="shared" si="15"/>
        <v>2027</v>
      </c>
      <c r="P161" s="166"/>
    </row>
    <row r="162" spans="1:16" ht="15" customHeight="1" outlineLevel="1">
      <c r="A162" s="60"/>
      <c r="B162" s="94" t="str">
        <f>B$6</f>
        <v>Model Running: Best Case Drivers</v>
      </c>
      <c r="C162" s="93"/>
      <c r="D162" s="92"/>
      <c r="E162" s="92"/>
      <c r="F162" s="92"/>
      <c r="G162" s="92"/>
      <c r="H162" s="92"/>
      <c r="I162" s="203"/>
      <c r="J162" s="203"/>
      <c r="K162" s="203"/>
      <c r="L162" s="203"/>
      <c r="M162" s="203"/>
      <c r="P162" s="166"/>
    </row>
    <row r="163" spans="1:16" ht="15" customHeight="1" outlineLevel="1">
      <c r="A163" s="60"/>
      <c r="B163" s="94"/>
      <c r="C163" s="93"/>
      <c r="D163" s="92"/>
      <c r="E163" s="92"/>
      <c r="F163" s="92"/>
      <c r="G163" s="92"/>
      <c r="H163" s="92"/>
      <c r="I163" s="194"/>
      <c r="J163" s="194"/>
      <c r="K163" s="194"/>
      <c r="L163" s="194"/>
      <c r="M163" s="194"/>
    </row>
    <row r="164" spans="1:16" ht="15" customHeight="1" outlineLevel="1">
      <c r="A164" s="60"/>
      <c r="B164" s="254" t="s">
        <v>162</v>
      </c>
      <c r="C164" s="93"/>
      <c r="D164" s="317"/>
      <c r="E164" s="92"/>
      <c r="F164" s="244">
        <f t="shared" ref="F164:M164" si="16">F149</f>
        <v>511000</v>
      </c>
      <c r="G164" s="243">
        <f t="shared" si="16"/>
        <v>511365</v>
      </c>
      <c r="H164" s="243">
        <f t="shared" si="16"/>
        <v>521950</v>
      </c>
      <c r="I164" s="243">
        <f t="shared" si="16"/>
        <v>537608.5</v>
      </c>
      <c r="J164" s="243">
        <f t="shared" si="16"/>
        <v>548360.67000000004</v>
      </c>
      <c r="K164" s="243">
        <f t="shared" si="16"/>
        <v>559327.88340000005</v>
      </c>
      <c r="L164" s="243">
        <f t="shared" si="16"/>
        <v>567717.80165100005</v>
      </c>
      <c r="M164" s="242">
        <f t="shared" si="16"/>
        <v>576233.56867576495</v>
      </c>
    </row>
    <row r="165" spans="1:16" ht="15" customHeight="1" outlineLevel="1">
      <c r="A165" s="60"/>
      <c r="B165" s="254" t="s">
        <v>161</v>
      </c>
      <c r="C165" s="93"/>
      <c r="D165" s="92"/>
      <c r="E165" s="92"/>
      <c r="F165" s="353">
        <f t="shared" ref="F165:M165" si="17">F$8</f>
        <v>2.4E-2</v>
      </c>
      <c r="G165" s="352">
        <f t="shared" si="17"/>
        <v>2.1999999999999999E-2</v>
      </c>
      <c r="H165" s="352">
        <f t="shared" si="17"/>
        <v>2.3E-2</v>
      </c>
      <c r="I165" s="352">
        <f t="shared" si="17"/>
        <v>3.5000000000000003E-2</v>
      </c>
      <c r="J165" s="352">
        <f t="shared" si="17"/>
        <v>0.03</v>
      </c>
      <c r="K165" s="352">
        <f t="shared" si="17"/>
        <v>0.03</v>
      </c>
      <c r="L165" s="352">
        <f t="shared" si="17"/>
        <v>2.5000000000000001E-2</v>
      </c>
      <c r="M165" s="351">
        <f t="shared" si="17"/>
        <v>2.5000000000000001E-2</v>
      </c>
      <c r="P165" s="44"/>
    </row>
    <row r="166" spans="1:16" ht="15" customHeight="1" outlineLevel="1">
      <c r="A166" s="60"/>
      <c r="B166" s="254"/>
      <c r="C166" s="93"/>
      <c r="D166" s="92"/>
      <c r="E166" s="92"/>
      <c r="F166" s="350"/>
      <c r="G166" s="350"/>
      <c r="H166" s="350"/>
      <c r="I166" s="349"/>
      <c r="J166" s="349"/>
      <c r="K166" s="349"/>
      <c r="L166" s="349"/>
      <c r="M166" s="349"/>
      <c r="P166" s="44"/>
    </row>
    <row r="167" spans="1:16" s="60" customFormat="1" ht="15" customHeight="1" outlineLevel="1">
      <c r="B167" s="88" t="s">
        <v>160</v>
      </c>
      <c r="C167" s="318"/>
      <c r="D167" s="317"/>
      <c r="E167" s="61"/>
      <c r="F167" s="348"/>
      <c r="G167" s="348"/>
      <c r="H167" s="348"/>
      <c r="I167" s="224"/>
      <c r="J167" s="224"/>
      <c r="K167" s="224"/>
      <c r="L167" s="224"/>
      <c r="M167" s="224"/>
      <c r="N167" s="44"/>
      <c r="O167" s="44"/>
      <c r="P167" s="44"/>
    </row>
    <row r="168" spans="1:16" s="60" customFormat="1" ht="15" customHeight="1" outlineLevel="1">
      <c r="B168" s="254"/>
      <c r="C168" s="318"/>
      <c r="D168" s="317"/>
      <c r="E168" s="61"/>
      <c r="F168" s="224"/>
      <c r="G168" s="224"/>
      <c r="H168" s="224"/>
      <c r="I168" s="224"/>
      <c r="J168" s="224"/>
      <c r="K168" s="224"/>
      <c r="L168" s="224"/>
      <c r="M168" s="224"/>
      <c r="N168" s="44"/>
      <c r="O168" s="44"/>
      <c r="P168" s="57"/>
    </row>
    <row r="169" spans="1:16" s="60" customFormat="1" ht="15" customHeight="1" outlineLevel="1">
      <c r="B169" s="128" t="s">
        <v>159</v>
      </c>
      <c r="C169" s="93"/>
      <c r="D169" s="317" t="s">
        <v>152</v>
      </c>
      <c r="E169" s="92"/>
      <c r="F169" s="347">
        <v>9.5</v>
      </c>
      <c r="G169" s="347">
        <v>9.7200000000000006</v>
      </c>
      <c r="H169" s="347">
        <v>9.91</v>
      </c>
      <c r="I169" s="346">
        <f t="shared" ref="I169:M170" si="18">H169*(1+I$165)</f>
        <v>10.25685</v>
      </c>
      <c r="J169" s="346">
        <f t="shared" si="18"/>
        <v>10.564555500000001</v>
      </c>
      <c r="K169" s="346">
        <f t="shared" si="18"/>
        <v>10.881492165000001</v>
      </c>
      <c r="L169" s="346">
        <f t="shared" si="18"/>
        <v>11.153529469125001</v>
      </c>
      <c r="M169" s="346">
        <f t="shared" si="18"/>
        <v>11.432367705853125</v>
      </c>
      <c r="P169" s="57"/>
    </row>
    <row r="170" spans="1:16" s="60" customFormat="1" ht="15" customHeight="1" outlineLevel="1">
      <c r="B170" s="128" t="s">
        <v>158</v>
      </c>
      <c r="C170" s="93"/>
      <c r="D170" s="317" t="s">
        <v>152</v>
      </c>
      <c r="E170" s="92"/>
      <c r="F170" s="345">
        <v>0.8</v>
      </c>
      <c r="G170" s="345">
        <v>0.84</v>
      </c>
      <c r="H170" s="345">
        <v>0.86</v>
      </c>
      <c r="I170" s="344">
        <f t="shared" si="18"/>
        <v>0.89009999999999989</v>
      </c>
      <c r="J170" s="344">
        <f t="shared" si="18"/>
        <v>0.91680299999999992</v>
      </c>
      <c r="K170" s="344">
        <f t="shared" si="18"/>
        <v>0.9443070899999999</v>
      </c>
      <c r="L170" s="344">
        <f t="shared" si="18"/>
        <v>0.96791476724999981</v>
      </c>
      <c r="M170" s="344">
        <f t="shared" si="18"/>
        <v>0.99211263643124969</v>
      </c>
      <c r="P170" s="57"/>
    </row>
    <row r="171" spans="1:16" s="60" customFormat="1" ht="15" customHeight="1" outlineLevel="1">
      <c r="B171" s="128" t="s">
        <v>154</v>
      </c>
      <c r="C171" s="318"/>
      <c r="D171" s="317"/>
      <c r="E171" s="61"/>
      <c r="F171" s="337">
        <f t="shared" ref="F171:M171" si="19">SUM(F169:F170)</f>
        <v>10.3</v>
      </c>
      <c r="G171" s="337">
        <f t="shared" si="19"/>
        <v>10.56</v>
      </c>
      <c r="H171" s="337">
        <f t="shared" si="19"/>
        <v>10.77</v>
      </c>
      <c r="I171" s="337">
        <f t="shared" si="19"/>
        <v>11.14695</v>
      </c>
      <c r="J171" s="337">
        <f t="shared" si="19"/>
        <v>11.481358500000001</v>
      </c>
      <c r="K171" s="337">
        <f t="shared" si="19"/>
        <v>11.825799255000002</v>
      </c>
      <c r="L171" s="337">
        <f t="shared" si="19"/>
        <v>12.121444236375</v>
      </c>
      <c r="M171" s="337">
        <f t="shared" si="19"/>
        <v>12.424480342284374</v>
      </c>
      <c r="P171" s="57"/>
    </row>
    <row r="172" spans="1:16" s="60" customFormat="1" ht="15" customHeight="1" outlineLevel="1">
      <c r="B172" s="318"/>
      <c r="C172" s="318"/>
      <c r="D172" s="317"/>
      <c r="E172" s="61"/>
      <c r="F172" s="337"/>
      <c r="G172" s="337"/>
      <c r="H172" s="337"/>
      <c r="I172" s="337"/>
      <c r="J172" s="337"/>
      <c r="K172" s="337"/>
      <c r="L172" s="337"/>
      <c r="M172" s="337"/>
      <c r="P172" s="57"/>
    </row>
    <row r="173" spans="1:16" s="60" customFormat="1" ht="15" customHeight="1" outlineLevel="1">
      <c r="B173" s="128" t="s">
        <v>159</v>
      </c>
      <c r="C173" s="93"/>
      <c r="D173" s="317"/>
      <c r="E173" s="92"/>
      <c r="F173" s="200">
        <f t="shared" ref="F173:M174" si="20">F169*F$164/1000</f>
        <v>4854.5</v>
      </c>
      <c r="G173" s="200">
        <f t="shared" si="20"/>
        <v>4970.4678000000004</v>
      </c>
      <c r="H173" s="200">
        <f t="shared" si="20"/>
        <v>5172.5245000000004</v>
      </c>
      <c r="I173" s="200">
        <f t="shared" si="20"/>
        <v>5514.1697432250003</v>
      </c>
      <c r="J173" s="200">
        <f t="shared" si="20"/>
        <v>5793.1867322321859</v>
      </c>
      <c r="K173" s="200">
        <f t="shared" si="20"/>
        <v>6086.3219808831345</v>
      </c>
      <c r="L173" s="200">
        <f t="shared" si="20"/>
        <v>6332.0572308612909</v>
      </c>
      <c r="M173" s="200">
        <f t="shared" si="20"/>
        <v>6587.714041557314</v>
      </c>
      <c r="P173" s="115"/>
    </row>
    <row r="174" spans="1:16" s="60" customFormat="1" ht="15" customHeight="1" outlineLevel="1">
      <c r="B174" s="128" t="s">
        <v>158</v>
      </c>
      <c r="C174" s="93"/>
      <c r="D174" s="317"/>
      <c r="E174" s="92"/>
      <c r="F174" s="201">
        <f t="shared" si="20"/>
        <v>408.8</v>
      </c>
      <c r="G174" s="201">
        <f t="shared" si="20"/>
        <v>429.54659999999996</v>
      </c>
      <c r="H174" s="201">
        <f t="shared" si="20"/>
        <v>448.87700000000001</v>
      </c>
      <c r="I174" s="201">
        <f t="shared" si="20"/>
        <v>478.52532584999994</v>
      </c>
      <c r="J174" s="201">
        <f t="shared" si="20"/>
        <v>502.73870733801004</v>
      </c>
      <c r="K174" s="201">
        <f t="shared" si="20"/>
        <v>528.17728592931326</v>
      </c>
      <c r="L174" s="201">
        <f t="shared" si="20"/>
        <v>549.50244384870928</v>
      </c>
      <c r="M174" s="201">
        <f t="shared" si="20"/>
        <v>571.68860501910069</v>
      </c>
      <c r="P174" s="115"/>
    </row>
    <row r="175" spans="1:16" s="60" customFormat="1" ht="15" customHeight="1" outlineLevel="1">
      <c r="B175" s="128" t="s">
        <v>154</v>
      </c>
      <c r="C175" s="318"/>
      <c r="D175" s="317"/>
      <c r="E175" s="61"/>
      <c r="F175" s="200">
        <f t="shared" ref="F175:M175" si="21">SUM(F173:F174)</f>
        <v>5263.3</v>
      </c>
      <c r="G175" s="200">
        <f t="shared" si="21"/>
        <v>5400.0144</v>
      </c>
      <c r="H175" s="200">
        <f t="shared" si="21"/>
        <v>5621.4015000000009</v>
      </c>
      <c r="I175" s="200">
        <f t="shared" si="21"/>
        <v>5992.695069075</v>
      </c>
      <c r="J175" s="200">
        <f t="shared" si="21"/>
        <v>6295.9254395701955</v>
      </c>
      <c r="K175" s="200">
        <f t="shared" si="21"/>
        <v>6614.4992668124478</v>
      </c>
      <c r="L175" s="200">
        <f t="shared" si="21"/>
        <v>6881.5596747099999</v>
      </c>
      <c r="M175" s="200">
        <f t="shared" si="21"/>
        <v>7159.4026465764146</v>
      </c>
      <c r="N175" s="115"/>
      <c r="O175" s="115"/>
      <c r="P175" s="57"/>
    </row>
    <row r="176" spans="1:16" s="60" customFormat="1" ht="15" customHeight="1" outlineLevel="1">
      <c r="B176" s="336"/>
      <c r="C176" s="319"/>
      <c r="D176" s="307"/>
      <c r="E176" s="322"/>
      <c r="F176" s="340"/>
      <c r="G176" s="340"/>
      <c r="H176" s="340"/>
      <c r="I176" s="340"/>
      <c r="J176" s="340"/>
      <c r="K176" s="340"/>
      <c r="L176" s="340"/>
      <c r="M176" s="340"/>
      <c r="P176" s="57"/>
    </row>
    <row r="177" spans="2:16" s="60" customFormat="1" ht="15" customHeight="1" outlineLevel="1">
      <c r="B177" s="254"/>
      <c r="C177" s="318"/>
      <c r="D177" s="317"/>
      <c r="E177" s="61"/>
      <c r="F177" s="224"/>
      <c r="G177" s="224"/>
      <c r="H177" s="224"/>
      <c r="I177" s="224"/>
      <c r="J177" s="224"/>
      <c r="K177" s="224"/>
      <c r="L177" s="224"/>
      <c r="M177" s="224"/>
      <c r="P177" s="57"/>
    </row>
    <row r="178" spans="2:16" s="60" customFormat="1" ht="15" customHeight="1" outlineLevel="1">
      <c r="B178" s="88" t="s">
        <v>157</v>
      </c>
      <c r="C178" s="318"/>
      <c r="D178" s="317"/>
      <c r="E178" s="61"/>
      <c r="F178" s="224"/>
      <c r="G178" s="224"/>
      <c r="H178" s="224"/>
      <c r="I178" s="224"/>
      <c r="J178" s="224"/>
      <c r="K178" s="224"/>
      <c r="L178" s="224"/>
      <c r="M178" s="224"/>
      <c r="N178" s="44"/>
      <c r="O178" s="44"/>
      <c r="P178" s="57"/>
    </row>
    <row r="179" spans="2:16" s="60" customFormat="1" ht="15" customHeight="1" outlineLevel="1">
      <c r="B179" s="343"/>
      <c r="C179" s="318"/>
      <c r="D179" s="317"/>
      <c r="E179" s="61"/>
      <c r="F179" s="224"/>
      <c r="G179" s="224"/>
      <c r="H179" s="224"/>
      <c r="I179" s="224"/>
      <c r="J179" s="224"/>
      <c r="K179" s="224"/>
      <c r="L179" s="224"/>
      <c r="M179" s="224"/>
      <c r="N179" s="44"/>
      <c r="O179" s="44"/>
      <c r="P179" s="57"/>
    </row>
    <row r="180" spans="2:16" s="60" customFormat="1" ht="15" customHeight="1" outlineLevel="1">
      <c r="B180" s="128" t="s">
        <v>156</v>
      </c>
      <c r="C180" s="93"/>
      <c r="D180" s="317" t="s">
        <v>152</v>
      </c>
      <c r="E180" s="92"/>
      <c r="F180" s="337">
        <f t="shared" ref="F180:M181" si="22">(F184*1000)/F$164</f>
        <v>30.587084148727985</v>
      </c>
      <c r="G180" s="337">
        <f t="shared" si="22"/>
        <v>31.236005592873976</v>
      </c>
      <c r="H180" s="337">
        <f t="shared" si="22"/>
        <v>31.307596513075964</v>
      </c>
      <c r="I180" s="337">
        <f t="shared" si="22"/>
        <v>31.459575136925842</v>
      </c>
      <c r="J180" s="337">
        <f t="shared" si="22"/>
        <v>31.768002344150609</v>
      </c>
      <c r="K180" s="337">
        <f t="shared" si="22"/>
        <v>32.079453347524634</v>
      </c>
      <c r="L180" s="337">
        <f t="shared" si="22"/>
        <v>32.395507075086456</v>
      </c>
      <c r="M180" s="337">
        <f t="shared" si="22"/>
        <v>32.714674632476473</v>
      </c>
      <c r="P180" s="115"/>
    </row>
    <row r="181" spans="2:16" s="60" customFormat="1" ht="15" customHeight="1" outlineLevel="1">
      <c r="B181" s="128" t="s">
        <v>155</v>
      </c>
      <c r="C181" s="93"/>
      <c r="D181" s="317" t="s">
        <v>152</v>
      </c>
      <c r="E181" s="92"/>
      <c r="F181" s="338">
        <f t="shared" si="22"/>
        <v>7.1448140900195698</v>
      </c>
      <c r="G181" s="338">
        <f t="shared" si="22"/>
        <v>7.2961583213555876</v>
      </c>
      <c r="H181" s="338">
        <f t="shared" si="22"/>
        <v>7.312961011591149</v>
      </c>
      <c r="I181" s="338">
        <f t="shared" si="22"/>
        <v>7.348460822327028</v>
      </c>
      <c r="J181" s="338">
        <f t="shared" si="22"/>
        <v>7.4205045558792531</v>
      </c>
      <c r="K181" s="338">
        <f t="shared" si="22"/>
        <v>7.4932546005447369</v>
      </c>
      <c r="L181" s="338">
        <f t="shared" si="22"/>
        <v>7.5670797690230094</v>
      </c>
      <c r="M181" s="338">
        <f t="shared" si="22"/>
        <v>7.6416322790626454</v>
      </c>
      <c r="P181" s="115"/>
    </row>
    <row r="182" spans="2:16" s="60" customFormat="1" ht="15" customHeight="1" outlineLevel="1">
      <c r="B182" s="128" t="s">
        <v>154</v>
      </c>
      <c r="C182" s="318"/>
      <c r="D182" s="317"/>
      <c r="E182" s="61"/>
      <c r="F182" s="337">
        <f t="shared" ref="F182:M182" si="23">SUM(F180:F181)</f>
        <v>37.731898238747554</v>
      </c>
      <c r="G182" s="337">
        <f t="shared" si="23"/>
        <v>38.532163914229564</v>
      </c>
      <c r="H182" s="337">
        <f t="shared" si="23"/>
        <v>38.620557524667113</v>
      </c>
      <c r="I182" s="337">
        <f t="shared" si="23"/>
        <v>38.808035959252869</v>
      </c>
      <c r="J182" s="337">
        <f t="shared" si="23"/>
        <v>39.188506900029864</v>
      </c>
      <c r="K182" s="337">
        <f t="shared" si="23"/>
        <v>39.572707948069372</v>
      </c>
      <c r="L182" s="337">
        <f t="shared" si="23"/>
        <v>39.962586844109467</v>
      </c>
      <c r="M182" s="337">
        <f t="shared" si="23"/>
        <v>40.356306911539122</v>
      </c>
      <c r="P182" s="57"/>
    </row>
    <row r="183" spans="2:16" s="60" customFormat="1" ht="15" customHeight="1" outlineLevel="1">
      <c r="B183" s="318"/>
      <c r="C183" s="318"/>
      <c r="D183" s="317"/>
      <c r="E183" s="61"/>
      <c r="F183" s="224"/>
      <c r="G183" s="224"/>
      <c r="H183" s="224"/>
      <c r="I183" s="224"/>
      <c r="J183" s="224"/>
      <c r="K183" s="224"/>
      <c r="L183" s="224"/>
      <c r="M183" s="224"/>
      <c r="P183" s="57"/>
    </row>
    <row r="184" spans="2:16" s="60" customFormat="1" ht="15" customHeight="1" outlineLevel="1">
      <c r="B184" s="128" t="s">
        <v>156</v>
      </c>
      <c r="C184" s="93"/>
      <c r="D184" s="312"/>
      <c r="E184" s="92"/>
      <c r="F184" s="312">
        <v>15630</v>
      </c>
      <c r="G184" s="312">
        <v>15973</v>
      </c>
      <c r="H184" s="312">
        <v>16341</v>
      </c>
      <c r="I184" s="229">
        <f t="shared" ref="I184:M185" si="24">H184*(1+I$165)</f>
        <v>16912.934999999998</v>
      </c>
      <c r="J184" s="229">
        <f t="shared" si="24"/>
        <v>17420.323049999999</v>
      </c>
      <c r="K184" s="229">
        <f t="shared" si="24"/>
        <v>17942.932741500001</v>
      </c>
      <c r="L184" s="229">
        <f t="shared" si="24"/>
        <v>18391.5060600375</v>
      </c>
      <c r="M184" s="229">
        <f t="shared" si="24"/>
        <v>18851.293711538437</v>
      </c>
      <c r="P184" s="57"/>
    </row>
    <row r="185" spans="2:16" s="60" customFormat="1" ht="15" customHeight="1" outlineLevel="1">
      <c r="B185" s="128" t="s">
        <v>155</v>
      </c>
      <c r="C185" s="93"/>
      <c r="D185" s="317"/>
      <c r="E185" s="92"/>
      <c r="F185" s="335">
        <v>3651</v>
      </c>
      <c r="G185" s="335">
        <v>3731</v>
      </c>
      <c r="H185" s="335">
        <v>3817</v>
      </c>
      <c r="I185" s="342">
        <f t="shared" si="24"/>
        <v>3950.5949999999998</v>
      </c>
      <c r="J185" s="342">
        <f t="shared" si="24"/>
        <v>4069.11285</v>
      </c>
      <c r="K185" s="342">
        <f t="shared" si="24"/>
        <v>4191.1862355000003</v>
      </c>
      <c r="L185" s="342">
        <f t="shared" si="24"/>
        <v>4295.9658913875001</v>
      </c>
      <c r="M185" s="342">
        <f t="shared" si="24"/>
        <v>4403.3650386721874</v>
      </c>
      <c r="P185" s="57"/>
    </row>
    <row r="186" spans="2:16" s="60" customFormat="1" ht="15" customHeight="1" outlineLevel="1">
      <c r="B186" s="128" t="s">
        <v>154</v>
      </c>
      <c r="C186" s="318"/>
      <c r="D186" s="317"/>
      <c r="E186" s="61"/>
      <c r="F186" s="200">
        <f t="shared" ref="F186:M186" si="25">SUM(F184:F185)</f>
        <v>19281</v>
      </c>
      <c r="G186" s="200">
        <f t="shared" si="25"/>
        <v>19704</v>
      </c>
      <c r="H186" s="200">
        <f t="shared" si="25"/>
        <v>20158</v>
      </c>
      <c r="I186" s="200">
        <f t="shared" si="25"/>
        <v>20863.53</v>
      </c>
      <c r="J186" s="200">
        <f t="shared" si="25"/>
        <v>21489.4359</v>
      </c>
      <c r="K186" s="200">
        <f t="shared" si="25"/>
        <v>22134.118977000002</v>
      </c>
      <c r="L186" s="200">
        <f t="shared" si="25"/>
        <v>22687.471951424999</v>
      </c>
      <c r="M186" s="200">
        <f t="shared" si="25"/>
        <v>23254.658750210627</v>
      </c>
      <c r="P186" s="57"/>
    </row>
    <row r="187" spans="2:16" s="60" customFormat="1" ht="15" customHeight="1" outlineLevel="1">
      <c r="B187" s="336"/>
      <c r="C187" s="319"/>
      <c r="D187" s="307"/>
      <c r="E187" s="322"/>
      <c r="F187" s="340"/>
      <c r="G187" s="341"/>
      <c r="H187" s="341"/>
      <c r="I187" s="340"/>
      <c r="J187" s="340"/>
      <c r="K187" s="340"/>
      <c r="L187" s="340"/>
      <c r="M187" s="340"/>
      <c r="P187" s="57"/>
    </row>
    <row r="188" spans="2:16" s="60" customFormat="1" ht="15" customHeight="1" outlineLevel="1">
      <c r="B188" s="254"/>
      <c r="C188" s="318"/>
      <c r="D188" s="317"/>
      <c r="E188" s="61"/>
      <c r="F188" s="224"/>
      <c r="G188" s="339"/>
      <c r="H188" s="339"/>
      <c r="I188" s="224"/>
      <c r="J188" s="224"/>
      <c r="K188" s="224"/>
      <c r="L188" s="224"/>
      <c r="M188" s="224"/>
      <c r="P188" s="57"/>
    </row>
    <row r="189" spans="2:16" s="60" customFormat="1" ht="15" customHeight="1" outlineLevel="1">
      <c r="B189" s="88" t="s">
        <v>153</v>
      </c>
      <c r="C189" s="318"/>
      <c r="D189" s="317"/>
      <c r="E189" s="61"/>
      <c r="F189" s="224"/>
      <c r="G189" s="224"/>
      <c r="H189" s="224"/>
      <c r="I189" s="224"/>
      <c r="P189" s="57"/>
    </row>
    <row r="190" spans="2:16" s="60" customFormat="1" ht="15" customHeight="1" outlineLevel="1">
      <c r="B190" s="88"/>
      <c r="C190" s="318"/>
      <c r="D190" s="317"/>
      <c r="E190" s="61"/>
      <c r="F190" s="224"/>
      <c r="G190" s="224"/>
      <c r="H190" s="224"/>
      <c r="I190" s="224"/>
      <c r="J190" s="224"/>
      <c r="K190" s="224"/>
      <c r="L190" s="224"/>
      <c r="M190" s="224"/>
      <c r="P190" s="57"/>
    </row>
    <row r="191" spans="2:16" s="60" customFormat="1" ht="15" customHeight="1" outlineLevel="1">
      <c r="B191" s="128" t="s">
        <v>151</v>
      </c>
      <c r="C191" s="318"/>
      <c r="D191" s="317" t="s">
        <v>152</v>
      </c>
      <c r="E191" s="61"/>
      <c r="F191" s="337">
        <f t="shared" ref="F191:M191" si="26">F171</f>
        <v>10.3</v>
      </c>
      <c r="G191" s="337">
        <f t="shared" si="26"/>
        <v>10.56</v>
      </c>
      <c r="H191" s="337">
        <f t="shared" si="26"/>
        <v>10.77</v>
      </c>
      <c r="I191" s="337">
        <f t="shared" si="26"/>
        <v>11.14695</v>
      </c>
      <c r="J191" s="337">
        <f t="shared" si="26"/>
        <v>11.481358500000001</v>
      </c>
      <c r="K191" s="337">
        <f t="shared" si="26"/>
        <v>11.825799255000002</v>
      </c>
      <c r="L191" s="337">
        <f t="shared" si="26"/>
        <v>12.121444236375</v>
      </c>
      <c r="M191" s="337">
        <f t="shared" si="26"/>
        <v>12.424480342284374</v>
      </c>
      <c r="P191" s="57"/>
    </row>
    <row r="192" spans="2:16" s="60" customFormat="1" ht="15" customHeight="1" outlineLevel="1">
      <c r="B192" s="128" t="s">
        <v>150</v>
      </c>
      <c r="C192" s="318"/>
      <c r="D192" s="317" t="s">
        <v>152</v>
      </c>
      <c r="E192" s="61"/>
      <c r="F192" s="338">
        <f t="shared" ref="F192:M192" si="27">F182</f>
        <v>37.731898238747554</v>
      </c>
      <c r="G192" s="338">
        <f t="shared" si="27"/>
        <v>38.532163914229564</v>
      </c>
      <c r="H192" s="338">
        <f t="shared" si="27"/>
        <v>38.620557524667113</v>
      </c>
      <c r="I192" s="338">
        <f t="shared" si="27"/>
        <v>38.808035959252869</v>
      </c>
      <c r="J192" s="338">
        <f t="shared" si="27"/>
        <v>39.188506900029864</v>
      </c>
      <c r="K192" s="338">
        <f t="shared" si="27"/>
        <v>39.572707948069372</v>
      </c>
      <c r="L192" s="338">
        <f t="shared" si="27"/>
        <v>39.962586844109467</v>
      </c>
      <c r="M192" s="338">
        <f t="shared" si="27"/>
        <v>40.356306911539122</v>
      </c>
      <c r="P192" s="57"/>
    </row>
    <row r="193" spans="1:16" s="60" customFormat="1" ht="15" customHeight="1" outlineLevel="1">
      <c r="B193" s="128" t="s">
        <v>149</v>
      </c>
      <c r="C193" s="318"/>
      <c r="D193" s="317" t="s">
        <v>152</v>
      </c>
      <c r="E193" s="61"/>
      <c r="F193" s="337">
        <f t="shared" ref="F193:M193" si="28">SUM(F191:F192)</f>
        <v>48.031898238747559</v>
      </c>
      <c r="G193" s="337">
        <f t="shared" si="28"/>
        <v>49.092163914229566</v>
      </c>
      <c r="H193" s="337">
        <f t="shared" si="28"/>
        <v>49.390557524667116</v>
      </c>
      <c r="I193" s="337">
        <f t="shared" si="28"/>
        <v>49.954985959252866</v>
      </c>
      <c r="J193" s="337">
        <f t="shared" si="28"/>
        <v>50.669865400029863</v>
      </c>
      <c r="K193" s="337">
        <f t="shared" si="28"/>
        <v>51.398507203069371</v>
      </c>
      <c r="L193" s="337">
        <f t="shared" si="28"/>
        <v>52.084031080484465</v>
      </c>
      <c r="M193" s="337">
        <f t="shared" si="28"/>
        <v>52.780787253823497</v>
      </c>
      <c r="P193" s="57"/>
    </row>
    <row r="194" spans="1:16" s="60" customFormat="1" ht="15" customHeight="1" outlineLevel="1">
      <c r="B194" s="254"/>
      <c r="C194" s="318"/>
      <c r="D194" s="317"/>
      <c r="E194" s="61"/>
      <c r="F194" s="337"/>
      <c r="G194" s="337"/>
      <c r="H194" s="337"/>
      <c r="I194" s="337"/>
      <c r="J194" s="337"/>
      <c r="K194" s="337"/>
      <c r="L194" s="337"/>
      <c r="M194" s="337"/>
      <c r="P194" s="57"/>
    </row>
    <row r="195" spans="1:16" s="60" customFormat="1" ht="15" customHeight="1" outlineLevel="1">
      <c r="B195" s="128" t="s">
        <v>151</v>
      </c>
      <c r="C195" s="318"/>
      <c r="D195" s="317"/>
      <c r="E195" s="61"/>
      <c r="F195" s="200">
        <f t="shared" ref="F195:M195" si="29">F175</f>
        <v>5263.3</v>
      </c>
      <c r="G195" s="200">
        <f t="shared" si="29"/>
        <v>5400.0144</v>
      </c>
      <c r="H195" s="200">
        <f t="shared" si="29"/>
        <v>5621.4015000000009</v>
      </c>
      <c r="I195" s="200">
        <f t="shared" si="29"/>
        <v>5992.695069075</v>
      </c>
      <c r="J195" s="200">
        <f t="shared" si="29"/>
        <v>6295.9254395701955</v>
      </c>
      <c r="K195" s="200">
        <f t="shared" si="29"/>
        <v>6614.4992668124478</v>
      </c>
      <c r="L195" s="200">
        <f t="shared" si="29"/>
        <v>6881.5596747099999</v>
      </c>
      <c r="M195" s="200">
        <f t="shared" si="29"/>
        <v>7159.4026465764146</v>
      </c>
      <c r="P195" s="57"/>
    </row>
    <row r="196" spans="1:16" s="60" customFormat="1" ht="15" customHeight="1" outlineLevel="1">
      <c r="B196" s="128" t="s">
        <v>150</v>
      </c>
      <c r="C196" s="318"/>
      <c r="D196" s="317"/>
      <c r="E196" s="61"/>
      <c r="F196" s="200">
        <f t="shared" ref="F196:M196" si="30">F186</f>
        <v>19281</v>
      </c>
      <c r="G196" s="200">
        <f t="shared" si="30"/>
        <v>19704</v>
      </c>
      <c r="H196" s="200">
        <f t="shared" si="30"/>
        <v>20158</v>
      </c>
      <c r="I196" s="200">
        <f t="shared" si="30"/>
        <v>20863.53</v>
      </c>
      <c r="J196" s="200">
        <f t="shared" si="30"/>
        <v>21489.4359</v>
      </c>
      <c r="K196" s="200">
        <f t="shared" si="30"/>
        <v>22134.118977000002</v>
      </c>
      <c r="L196" s="200">
        <f t="shared" si="30"/>
        <v>22687.471951424999</v>
      </c>
      <c r="M196" s="200">
        <f t="shared" si="30"/>
        <v>23254.658750210627</v>
      </c>
      <c r="P196" s="57"/>
    </row>
    <row r="197" spans="1:16" s="60" customFormat="1" ht="15" customHeight="1" outlineLevel="1" thickBot="1">
      <c r="B197" s="128" t="s">
        <v>149</v>
      </c>
      <c r="C197" s="318"/>
      <c r="D197" s="317"/>
      <c r="E197" s="61"/>
      <c r="F197" s="223">
        <f t="shared" ref="F197:M197" si="31">SUM(F195:F196)</f>
        <v>24544.3</v>
      </c>
      <c r="G197" s="223">
        <f t="shared" si="31"/>
        <v>25104.0144</v>
      </c>
      <c r="H197" s="223">
        <f t="shared" si="31"/>
        <v>25779.4015</v>
      </c>
      <c r="I197" s="223">
        <f t="shared" si="31"/>
        <v>26856.225069075001</v>
      </c>
      <c r="J197" s="223">
        <f t="shared" si="31"/>
        <v>27785.361339570198</v>
      </c>
      <c r="K197" s="223">
        <f t="shared" si="31"/>
        <v>28748.618243812449</v>
      </c>
      <c r="L197" s="223">
        <f t="shared" si="31"/>
        <v>29569.031626134998</v>
      </c>
      <c r="M197" s="223">
        <f t="shared" si="31"/>
        <v>30414.061396787041</v>
      </c>
      <c r="P197" s="57"/>
    </row>
    <row r="198" spans="1:16" s="60" customFormat="1" ht="15" customHeight="1" outlineLevel="1">
      <c r="B198" s="88"/>
      <c r="C198" s="318"/>
      <c r="D198" s="317"/>
      <c r="E198" s="61"/>
      <c r="F198" s="200"/>
      <c r="G198" s="200"/>
      <c r="H198" s="200"/>
      <c r="I198" s="200"/>
      <c r="J198" s="200"/>
      <c r="K198" s="200"/>
      <c r="L198" s="200"/>
      <c r="M198" s="200"/>
      <c r="P198" s="57"/>
    </row>
    <row r="199" spans="1:16" s="60" customFormat="1" ht="15" customHeight="1" outlineLevel="1">
      <c r="B199" s="336"/>
      <c r="C199" s="198"/>
      <c r="D199" s="307"/>
      <c r="E199" s="197"/>
      <c r="F199" s="335"/>
      <c r="G199" s="335"/>
      <c r="H199" s="334"/>
      <c r="I199" s="334"/>
      <c r="J199" s="334"/>
      <c r="K199" s="334"/>
      <c r="L199" s="334"/>
      <c r="M199" s="334"/>
      <c r="N199" s="44"/>
      <c r="O199" s="44"/>
    </row>
    <row r="200" spans="1:16" s="60" customFormat="1" ht="15" customHeight="1">
      <c r="B200" s="254"/>
      <c r="C200" s="93"/>
      <c r="D200" s="317"/>
      <c r="E200" s="92"/>
      <c r="F200" s="312"/>
      <c r="G200" s="312"/>
      <c r="H200" s="333"/>
      <c r="I200" s="333"/>
      <c r="J200" s="333"/>
      <c r="K200" s="333"/>
      <c r="L200" s="333"/>
      <c r="M200" s="333"/>
      <c r="N200" s="44"/>
      <c r="O200" s="44"/>
    </row>
    <row r="201" spans="1:16" s="194" customFormat="1" ht="15" customHeight="1">
      <c r="A201" s="194" t="s">
        <v>0</v>
      </c>
      <c r="B201" s="98" t="s">
        <v>148</v>
      </c>
      <c r="C201" s="97"/>
      <c r="D201" s="212"/>
      <c r="E201" s="212"/>
      <c r="F201" s="95"/>
      <c r="G201" s="95"/>
      <c r="H201" s="95"/>
      <c r="I201" s="211"/>
      <c r="J201" s="210"/>
      <c r="K201" s="210"/>
      <c r="L201" s="210"/>
      <c r="M201" s="210"/>
      <c r="N201" s="44"/>
      <c r="O201" s="44"/>
    </row>
    <row r="202" spans="1:16" s="194" customFormat="1" ht="15" customHeight="1" outlineLevel="1">
      <c r="B202" s="192"/>
      <c r="C202" s="93"/>
      <c r="D202" s="191"/>
      <c r="E202" s="191"/>
      <c r="F202" s="190"/>
      <c r="G202" s="190"/>
      <c r="H202" s="190"/>
      <c r="I202" s="190"/>
      <c r="J202" s="190"/>
      <c r="K202" s="190"/>
      <c r="L202" s="190"/>
      <c r="M202" s="190"/>
      <c r="N202" s="195"/>
      <c r="O202" s="195"/>
    </row>
    <row r="203" spans="1:16" s="194" customFormat="1" ht="15" customHeight="1" outlineLevel="1" thickBot="1">
      <c r="B203" s="94" t="s">
        <v>28</v>
      </c>
      <c r="C203" s="93"/>
      <c r="D203" s="92"/>
      <c r="E203" s="92"/>
      <c r="F203" s="208">
        <f t="shared" ref="F203:M203" si="32">F$5</f>
        <v>2020</v>
      </c>
      <c r="G203" s="208">
        <f t="shared" si="32"/>
        <v>2021</v>
      </c>
      <c r="H203" s="208">
        <f t="shared" si="32"/>
        <v>2022</v>
      </c>
      <c r="I203" s="150">
        <f t="shared" si="32"/>
        <v>2023</v>
      </c>
      <c r="J203" s="150">
        <f t="shared" si="32"/>
        <v>2024</v>
      </c>
      <c r="K203" s="150">
        <f t="shared" si="32"/>
        <v>2025</v>
      </c>
      <c r="L203" s="150">
        <f t="shared" si="32"/>
        <v>2026</v>
      </c>
      <c r="M203" s="150">
        <f t="shared" si="32"/>
        <v>2027</v>
      </c>
      <c r="P203" s="57"/>
    </row>
    <row r="204" spans="1:16" ht="15" customHeight="1" outlineLevel="1">
      <c r="A204" s="60"/>
      <c r="B204" s="94" t="str">
        <f>B$6</f>
        <v>Model Running: Best Case Drivers</v>
      </c>
      <c r="C204" s="93"/>
      <c r="D204" s="92"/>
      <c r="E204" s="92"/>
      <c r="F204" s="92"/>
      <c r="G204" s="92"/>
      <c r="H204" s="92"/>
      <c r="I204" s="203"/>
      <c r="J204" s="203"/>
      <c r="K204" s="203"/>
      <c r="L204" s="203"/>
      <c r="M204" s="203"/>
      <c r="P204" s="44"/>
    </row>
    <row r="205" spans="1:16" s="194" customFormat="1" ht="15" customHeight="1" outlineLevel="1">
      <c r="B205" s="94"/>
      <c r="C205" s="93"/>
      <c r="D205" s="92"/>
      <c r="E205" s="92"/>
      <c r="F205" s="92"/>
      <c r="G205" s="92"/>
      <c r="H205" s="92"/>
      <c r="N205" s="195"/>
      <c r="O205" s="195"/>
    </row>
    <row r="206" spans="1:16" s="60" customFormat="1" ht="15" customHeight="1" outlineLevel="1">
      <c r="B206" s="128" t="s">
        <v>47</v>
      </c>
      <c r="C206" s="318"/>
      <c r="D206" s="317"/>
      <c r="E206" s="61"/>
      <c r="F206" s="244">
        <f t="shared" ref="F206:M206" si="33">F136</f>
        <v>365</v>
      </c>
      <c r="G206" s="243">
        <f t="shared" si="33"/>
        <v>365</v>
      </c>
      <c r="H206" s="243">
        <f t="shared" si="33"/>
        <v>365</v>
      </c>
      <c r="I206" s="243">
        <f t="shared" si="33"/>
        <v>365</v>
      </c>
      <c r="J206" s="243">
        <f t="shared" si="33"/>
        <v>365</v>
      </c>
      <c r="K206" s="243">
        <f t="shared" si="33"/>
        <v>365</v>
      </c>
      <c r="L206" s="243">
        <f t="shared" si="33"/>
        <v>365</v>
      </c>
      <c r="M206" s="242">
        <f t="shared" si="33"/>
        <v>365</v>
      </c>
      <c r="N206" s="44"/>
      <c r="O206" s="44"/>
    </row>
    <row r="207" spans="1:16" s="60" customFormat="1" ht="15" customHeight="1" outlineLevel="1">
      <c r="B207" s="128" t="s">
        <v>26</v>
      </c>
      <c r="C207" s="61"/>
      <c r="D207" s="61"/>
      <c r="E207" s="61"/>
      <c r="F207" s="332">
        <f t="shared" ref="F207:M207" si="34">F11</f>
        <v>50589</v>
      </c>
      <c r="G207" s="200">
        <f t="shared" si="34"/>
        <v>51647.864999999998</v>
      </c>
      <c r="H207" s="200">
        <f t="shared" si="34"/>
        <v>53760.85</v>
      </c>
      <c r="I207" s="200">
        <f t="shared" si="34"/>
        <v>57311.754142500002</v>
      </c>
      <c r="J207" s="200">
        <f t="shared" si="34"/>
        <v>59627.149009857007</v>
      </c>
      <c r="K207" s="200">
        <f t="shared" si="34"/>
        <v>62036.085829855227</v>
      </c>
      <c r="L207" s="200">
        <f t="shared" si="34"/>
        <v>64225.95965964911</v>
      </c>
      <c r="M207" s="331">
        <f t="shared" si="34"/>
        <v>66167.189290361988</v>
      </c>
      <c r="N207" s="44"/>
      <c r="O207" s="44"/>
    </row>
    <row r="208" spans="1:16" s="60" customFormat="1" ht="15" customHeight="1" outlineLevel="1">
      <c r="B208" s="128" t="s">
        <v>147</v>
      </c>
      <c r="C208" s="61"/>
      <c r="D208" s="61"/>
      <c r="E208" s="61"/>
      <c r="F208" s="330">
        <f t="shared" ref="F208:M208" si="35">-F12</f>
        <v>24544.3</v>
      </c>
      <c r="G208" s="201">
        <f t="shared" si="35"/>
        <v>25104.0144</v>
      </c>
      <c r="H208" s="201">
        <f t="shared" si="35"/>
        <v>25779.4015</v>
      </c>
      <c r="I208" s="201">
        <f t="shared" si="35"/>
        <v>26856.225069075001</v>
      </c>
      <c r="J208" s="201">
        <f t="shared" si="35"/>
        <v>27785.361339570198</v>
      </c>
      <c r="K208" s="201">
        <f t="shared" si="35"/>
        <v>28748.618243812449</v>
      </c>
      <c r="L208" s="201">
        <f t="shared" si="35"/>
        <v>29569.031626134998</v>
      </c>
      <c r="M208" s="329">
        <f t="shared" si="35"/>
        <v>30414.061396787041</v>
      </c>
      <c r="N208" s="44"/>
      <c r="O208" s="44"/>
    </row>
    <row r="209" spans="2:16" s="60" customFormat="1" ht="15" customHeight="1" outlineLevel="1">
      <c r="C209" s="74"/>
      <c r="D209" s="61"/>
      <c r="E209" s="61"/>
      <c r="F209" s="61"/>
      <c r="G209" s="61"/>
      <c r="H209" s="61"/>
      <c r="I209" s="320"/>
      <c r="J209" s="320"/>
      <c r="K209" s="320"/>
      <c r="L209" s="320"/>
      <c r="M209" s="320"/>
      <c r="N209" s="195"/>
      <c r="O209" s="195"/>
    </row>
    <row r="210" spans="2:16" s="60" customFormat="1" ht="15" customHeight="1" outlineLevel="1">
      <c r="C210" s="74"/>
      <c r="D210" s="61"/>
      <c r="E210" s="61"/>
      <c r="F210" s="61"/>
      <c r="G210" s="61"/>
      <c r="H210" s="61"/>
      <c r="I210" s="320"/>
      <c r="J210" s="320"/>
      <c r="K210" s="320"/>
      <c r="L210" s="320"/>
      <c r="M210" s="320"/>
      <c r="N210" s="195"/>
      <c r="O210" s="195"/>
    </row>
    <row r="211" spans="2:16" s="60" customFormat="1" ht="15" customHeight="1" outlineLevel="1">
      <c r="B211" s="88" t="s">
        <v>146</v>
      </c>
      <c r="C211" s="74"/>
      <c r="D211" s="61"/>
      <c r="E211" s="61"/>
      <c r="F211" s="61"/>
      <c r="G211" s="61"/>
      <c r="H211" s="61"/>
      <c r="I211" s="320"/>
      <c r="J211" s="320"/>
      <c r="K211" s="320"/>
      <c r="L211" s="320"/>
      <c r="M211" s="320"/>
      <c r="N211" s="195"/>
      <c r="O211" s="195"/>
      <c r="P211" s="166"/>
    </row>
    <row r="212" spans="2:16" s="60" customFormat="1" ht="15" customHeight="1" outlineLevel="1">
      <c r="B212" s="72" t="s">
        <v>61</v>
      </c>
      <c r="C212" s="61"/>
      <c r="D212" s="317" t="s">
        <v>58</v>
      </c>
      <c r="E212" s="317"/>
      <c r="F212" s="229">
        <f t="shared" ref="F212:H213" si="36">(F218/F207)*F$206</f>
        <v>41.18326118326118</v>
      </c>
      <c r="G212" s="229">
        <f t="shared" si="36"/>
        <v>44.755867449700006</v>
      </c>
      <c r="H212" s="229">
        <f t="shared" si="36"/>
        <v>44.972503224930414</v>
      </c>
      <c r="I212" s="229">
        <f>Inputs!H39</f>
        <v>45</v>
      </c>
      <c r="J212" s="229">
        <f>Inputs!I39</f>
        <v>45</v>
      </c>
      <c r="K212" s="229">
        <f>Inputs!J39</f>
        <v>45</v>
      </c>
      <c r="L212" s="229">
        <f>Inputs!K39</f>
        <v>45</v>
      </c>
      <c r="M212" s="229">
        <f>Inputs!L39</f>
        <v>45</v>
      </c>
      <c r="P212" s="115"/>
    </row>
    <row r="213" spans="2:16" s="60" customFormat="1" ht="15" customHeight="1" outlineLevel="1">
      <c r="B213" s="72" t="s">
        <v>60</v>
      </c>
      <c r="C213" s="61"/>
      <c r="D213" s="317" t="s">
        <v>58</v>
      </c>
      <c r="E213" s="317"/>
      <c r="F213" s="229">
        <f t="shared" si="36"/>
        <v>26.648957191690126</v>
      </c>
      <c r="G213" s="229">
        <f t="shared" si="36"/>
        <v>27.959472489786332</v>
      </c>
      <c r="H213" s="229">
        <f t="shared" si="36"/>
        <v>28.444609158207186</v>
      </c>
      <c r="I213" s="229">
        <f>Inputs!H40</f>
        <v>25</v>
      </c>
      <c r="J213" s="229">
        <f>Inputs!I40</f>
        <v>25</v>
      </c>
      <c r="K213" s="229">
        <f>Inputs!J40</f>
        <v>25</v>
      </c>
      <c r="L213" s="229">
        <f>Inputs!K40</f>
        <v>25</v>
      </c>
      <c r="M213" s="229">
        <f>Inputs!L40</f>
        <v>25</v>
      </c>
      <c r="P213" s="115"/>
    </row>
    <row r="214" spans="2:16" s="60" customFormat="1" ht="15" customHeight="1" outlineLevel="1">
      <c r="B214" s="72" t="s">
        <v>59</v>
      </c>
      <c r="C214" s="61"/>
      <c r="D214" s="317" t="s">
        <v>58</v>
      </c>
      <c r="E214" s="317"/>
      <c r="F214" s="229">
        <f>(F220/F208)*F$206</f>
        <v>44.970115260977096</v>
      </c>
      <c r="G214" s="229">
        <f>(G220/G208)*G$206</f>
        <v>46.599120816310553</v>
      </c>
      <c r="H214" s="229">
        <f>(H220/H208)*H$206</f>
        <v>46.992363263359699</v>
      </c>
      <c r="I214" s="229">
        <f>Inputs!H41</f>
        <v>40</v>
      </c>
      <c r="J214" s="229">
        <f>Inputs!I41</f>
        <v>40</v>
      </c>
      <c r="K214" s="229">
        <f>Inputs!J41</f>
        <v>40</v>
      </c>
      <c r="L214" s="229">
        <f>Inputs!K41</f>
        <v>40</v>
      </c>
      <c r="M214" s="229">
        <f>Inputs!L41</f>
        <v>40</v>
      </c>
      <c r="P214" s="115"/>
    </row>
    <row r="215" spans="2:16" s="60" customFormat="1" ht="15" customHeight="1" outlineLevel="1">
      <c r="C215" s="61"/>
      <c r="D215" s="328"/>
      <c r="E215" s="328"/>
      <c r="F215" s="327"/>
      <c r="G215" s="326"/>
      <c r="H215" s="326"/>
      <c r="I215" s="325"/>
      <c r="J215" s="325"/>
      <c r="K215" s="325"/>
      <c r="L215" s="325"/>
      <c r="M215" s="325"/>
      <c r="P215" s="207"/>
    </row>
    <row r="216" spans="2:16" s="60" customFormat="1" ht="15" customHeight="1" outlineLevel="1">
      <c r="C216" s="61"/>
      <c r="D216" s="328"/>
      <c r="E216" s="328"/>
      <c r="F216" s="327"/>
      <c r="G216" s="326"/>
      <c r="H216" s="326"/>
      <c r="I216" s="325"/>
      <c r="J216" s="325"/>
      <c r="K216" s="325"/>
      <c r="L216" s="325"/>
      <c r="M216" s="325"/>
      <c r="P216" s="207"/>
    </row>
    <row r="217" spans="2:16" s="60" customFormat="1" ht="15" customHeight="1" outlineLevel="1">
      <c r="B217" s="88" t="s">
        <v>145</v>
      </c>
      <c r="C217" s="74"/>
      <c r="D217" s="61"/>
      <c r="E217" s="61"/>
      <c r="F217" s="61"/>
      <c r="G217" s="61"/>
      <c r="H217" s="61"/>
      <c r="I217" s="320"/>
      <c r="J217" s="320"/>
      <c r="K217" s="320"/>
      <c r="L217" s="320"/>
      <c r="M217" s="320"/>
      <c r="N217" s="195"/>
      <c r="O217" s="195"/>
    </row>
    <row r="218" spans="2:16" s="60" customFormat="1" ht="15" customHeight="1" outlineLevel="1">
      <c r="B218" s="72" t="s">
        <v>61</v>
      </c>
      <c r="C218" s="61"/>
      <c r="D218" s="61"/>
      <c r="E218" s="61"/>
      <c r="F218" s="200">
        <f t="shared" ref="F218:H219" si="37">F83</f>
        <v>5708</v>
      </c>
      <c r="G218" s="200">
        <f t="shared" si="37"/>
        <v>6333</v>
      </c>
      <c r="H218" s="200">
        <f t="shared" si="37"/>
        <v>6624</v>
      </c>
      <c r="I218" s="200">
        <f t="shared" ref="I218:M219" si="38">(I212/I$206)*I207</f>
        <v>7065.8327024999999</v>
      </c>
      <c r="J218" s="200">
        <f t="shared" si="38"/>
        <v>7351.2923436810006</v>
      </c>
      <c r="K218" s="200">
        <f t="shared" si="38"/>
        <v>7648.2845543657122</v>
      </c>
      <c r="L218" s="200">
        <f t="shared" si="38"/>
        <v>7918.2689991348216</v>
      </c>
      <c r="M218" s="200">
        <f t="shared" si="38"/>
        <v>8157.5986796336692</v>
      </c>
      <c r="N218" s="195"/>
      <c r="O218" s="195"/>
    </row>
    <row r="219" spans="2:16" s="60" customFormat="1" ht="15" customHeight="1" outlineLevel="1">
      <c r="B219" s="72" t="s">
        <v>60</v>
      </c>
      <c r="C219" s="61"/>
      <c r="D219" s="61"/>
      <c r="E219" s="61"/>
      <c r="F219" s="200">
        <f t="shared" si="37"/>
        <v>1792</v>
      </c>
      <c r="G219" s="200">
        <f t="shared" si="37"/>
        <v>1923</v>
      </c>
      <c r="H219" s="200">
        <f t="shared" si="37"/>
        <v>2009</v>
      </c>
      <c r="I219" s="200">
        <f t="shared" si="38"/>
        <v>1839.4674704845891</v>
      </c>
      <c r="J219" s="200">
        <f t="shared" si="38"/>
        <v>1903.1069410664518</v>
      </c>
      <c r="K219" s="200">
        <f t="shared" si="38"/>
        <v>1969.0834413570169</v>
      </c>
      <c r="L219" s="200">
        <f t="shared" si="38"/>
        <v>2025.2761387763696</v>
      </c>
      <c r="M219" s="200">
        <f t="shared" si="38"/>
        <v>2083.1548901908932</v>
      </c>
      <c r="N219" s="195"/>
      <c r="O219" s="195"/>
    </row>
    <row r="220" spans="2:16" s="60" customFormat="1" ht="15" customHeight="1" outlineLevel="1">
      <c r="B220" s="72" t="s">
        <v>59</v>
      </c>
      <c r="C220" s="61"/>
      <c r="D220" s="61"/>
      <c r="E220" s="61"/>
      <c r="F220" s="200">
        <f>F95</f>
        <v>3024</v>
      </c>
      <c r="G220" s="200">
        <f>G95</f>
        <v>3205</v>
      </c>
      <c r="H220" s="200">
        <f>H95</f>
        <v>3319</v>
      </c>
      <c r="I220" s="200">
        <f>(I214/I$206)*I208</f>
        <v>2943.1479527753422</v>
      </c>
      <c r="J220" s="200">
        <f>(J214/J$206)*J208</f>
        <v>3044.9711057063228</v>
      </c>
      <c r="K220" s="200">
        <f>(K214/K$206)*K208</f>
        <v>3150.5335061712271</v>
      </c>
      <c r="L220" s="200">
        <f>(L214/L$206)*L208</f>
        <v>3240.4418220421912</v>
      </c>
      <c r="M220" s="200">
        <f>(M214/M$206)*M208</f>
        <v>3333.047824305429</v>
      </c>
      <c r="N220" s="195"/>
      <c r="O220" s="195"/>
    </row>
    <row r="221" spans="2:16" s="60" customFormat="1" ht="15" customHeight="1" outlineLevel="1">
      <c r="C221" s="74"/>
      <c r="D221" s="61"/>
      <c r="E221" s="61"/>
      <c r="F221" s="61"/>
      <c r="G221" s="61"/>
      <c r="H221" s="61"/>
      <c r="I221" s="320"/>
      <c r="J221" s="320"/>
      <c r="K221" s="320"/>
      <c r="L221" s="320"/>
      <c r="M221" s="320"/>
      <c r="N221" s="195"/>
      <c r="O221" s="195"/>
    </row>
    <row r="222" spans="2:16" s="60" customFormat="1" ht="15" customHeight="1" outlineLevel="1">
      <c r="B222" s="324"/>
      <c r="C222" s="323"/>
      <c r="D222" s="322"/>
      <c r="E222" s="322"/>
      <c r="F222" s="322"/>
      <c r="G222" s="322"/>
      <c r="H222" s="322"/>
      <c r="I222" s="321"/>
      <c r="J222" s="321"/>
      <c r="K222" s="321"/>
      <c r="L222" s="321"/>
      <c r="M222" s="321"/>
      <c r="N222" s="195"/>
      <c r="O222" s="195"/>
    </row>
    <row r="223" spans="2:16" s="60" customFormat="1" ht="15" customHeight="1" outlineLevel="1">
      <c r="C223" s="74"/>
      <c r="D223" s="61"/>
      <c r="E223" s="61"/>
      <c r="F223" s="61"/>
      <c r="G223" s="61"/>
      <c r="H223" s="61"/>
      <c r="I223" s="320"/>
      <c r="J223" s="320"/>
      <c r="K223" s="320"/>
      <c r="L223" s="320"/>
      <c r="M223" s="320"/>
      <c r="N223" s="195"/>
      <c r="O223" s="195"/>
    </row>
    <row r="224" spans="2:16" s="60" customFormat="1" ht="15" customHeight="1" outlineLevel="1">
      <c r="C224" s="74"/>
      <c r="D224" s="61"/>
      <c r="E224" s="61"/>
      <c r="F224" s="61"/>
      <c r="G224" s="61"/>
      <c r="H224" s="61"/>
      <c r="I224" s="320"/>
      <c r="J224" s="320"/>
      <c r="K224" s="320"/>
      <c r="L224" s="320"/>
      <c r="M224" s="320"/>
      <c r="N224" s="195"/>
      <c r="O224" s="195"/>
    </row>
    <row r="225" spans="1:16" s="60" customFormat="1" ht="15" customHeight="1" outlineLevel="1">
      <c r="B225" s="88" t="s">
        <v>144</v>
      </c>
      <c r="C225" s="74"/>
      <c r="D225" s="61"/>
      <c r="E225" s="61"/>
      <c r="F225" s="61"/>
      <c r="G225" s="61"/>
      <c r="H225" s="61"/>
      <c r="I225" s="320"/>
      <c r="J225" s="320"/>
      <c r="K225" s="320"/>
      <c r="L225" s="320"/>
      <c r="M225" s="320"/>
      <c r="N225" s="195"/>
      <c r="O225" s="195"/>
    </row>
    <row r="226" spans="1:16" s="60" customFormat="1" ht="15" customHeight="1" outlineLevel="1">
      <c r="B226" s="72" t="s">
        <v>61</v>
      </c>
      <c r="C226" s="61"/>
      <c r="D226" s="61"/>
      <c r="E226" s="61"/>
      <c r="F226" s="200"/>
      <c r="G226" s="200">
        <f t="shared" ref="G226:M227" si="39">F218-G218</f>
        <v>-625</v>
      </c>
      <c r="H226" s="200">
        <f t="shared" si="39"/>
        <v>-291</v>
      </c>
      <c r="I226" s="200">
        <f t="shared" si="39"/>
        <v>-441.83270249999987</v>
      </c>
      <c r="J226" s="200">
        <f t="shared" si="39"/>
        <v>-285.45964118100073</v>
      </c>
      <c r="K226" s="200">
        <f t="shared" si="39"/>
        <v>-296.99221068471161</v>
      </c>
      <c r="L226" s="200">
        <f t="shared" si="39"/>
        <v>-269.98444476910936</v>
      </c>
      <c r="M226" s="200">
        <f t="shared" si="39"/>
        <v>-239.32968049884767</v>
      </c>
      <c r="N226" s="195"/>
      <c r="O226" s="195"/>
    </row>
    <row r="227" spans="1:16" s="60" customFormat="1" ht="15" customHeight="1" outlineLevel="1">
      <c r="B227" s="72" t="s">
        <v>60</v>
      </c>
      <c r="C227" s="61"/>
      <c r="D227" s="61"/>
      <c r="E227" s="61"/>
      <c r="F227" s="200"/>
      <c r="G227" s="200">
        <f t="shared" si="39"/>
        <v>-131</v>
      </c>
      <c r="H227" s="200">
        <f t="shared" si="39"/>
        <v>-86</v>
      </c>
      <c r="I227" s="200">
        <f t="shared" si="39"/>
        <v>169.53252951541094</v>
      </c>
      <c r="J227" s="200">
        <f t="shared" si="39"/>
        <v>-63.639470581862724</v>
      </c>
      <c r="K227" s="200">
        <f t="shared" si="39"/>
        <v>-65.976500290565127</v>
      </c>
      <c r="L227" s="200">
        <f t="shared" si="39"/>
        <v>-56.192697419352726</v>
      </c>
      <c r="M227" s="200">
        <f t="shared" si="39"/>
        <v>-57.878751414523549</v>
      </c>
      <c r="N227" s="195"/>
      <c r="O227" s="195"/>
    </row>
    <row r="228" spans="1:16" s="60" customFormat="1" ht="15" customHeight="1" outlineLevel="1">
      <c r="B228" s="72" t="s">
        <v>59</v>
      </c>
      <c r="C228" s="61"/>
      <c r="D228" s="61"/>
      <c r="E228" s="61"/>
      <c r="F228" s="200"/>
      <c r="G228" s="200">
        <f t="shared" ref="G228:M228" si="40">G220-F220</f>
        <v>181</v>
      </c>
      <c r="H228" s="200">
        <f t="shared" si="40"/>
        <v>114</v>
      </c>
      <c r="I228" s="200">
        <f t="shared" si="40"/>
        <v>-375.85204722465778</v>
      </c>
      <c r="J228" s="200">
        <f t="shared" si="40"/>
        <v>101.82315293098054</v>
      </c>
      <c r="K228" s="200">
        <f t="shared" si="40"/>
        <v>105.56240046490439</v>
      </c>
      <c r="L228" s="200">
        <f t="shared" si="40"/>
        <v>89.908315870964088</v>
      </c>
      <c r="M228" s="200">
        <f t="shared" si="40"/>
        <v>92.60600226323777</v>
      </c>
      <c r="N228" s="195"/>
      <c r="O228" s="195"/>
    </row>
    <row r="229" spans="1:16" s="60" customFormat="1" ht="15" customHeight="1" outlineLevel="1" thickBot="1">
      <c r="B229" s="72" t="s">
        <v>143</v>
      </c>
      <c r="C229" s="74"/>
      <c r="D229" s="74"/>
      <c r="E229" s="74"/>
      <c r="F229" s="74"/>
      <c r="G229" s="223">
        <f t="shared" ref="G229:M229" si="41">SUM(G226:G228)</f>
        <v>-575</v>
      </c>
      <c r="H229" s="223">
        <f t="shared" si="41"/>
        <v>-263</v>
      </c>
      <c r="I229" s="223">
        <f t="shared" si="41"/>
        <v>-648.15222020924671</v>
      </c>
      <c r="J229" s="223">
        <f t="shared" si="41"/>
        <v>-247.27595883188292</v>
      </c>
      <c r="K229" s="223">
        <f t="shared" si="41"/>
        <v>-257.40631051037235</v>
      </c>
      <c r="L229" s="223">
        <f t="shared" si="41"/>
        <v>-236.268826317498</v>
      </c>
      <c r="M229" s="223">
        <f t="shared" si="41"/>
        <v>-204.60242965013344</v>
      </c>
      <c r="N229" s="195"/>
      <c r="O229" s="195"/>
    </row>
    <row r="230" spans="1:16" s="60" customFormat="1" ht="15" customHeight="1" outlineLevel="1">
      <c r="C230" s="74"/>
      <c r="D230" s="61"/>
      <c r="E230" s="61"/>
      <c r="F230" s="61"/>
      <c r="G230" s="61"/>
      <c r="H230" s="61"/>
      <c r="I230" s="320"/>
      <c r="J230" s="320"/>
      <c r="K230" s="320"/>
      <c r="L230" s="320"/>
      <c r="M230" s="320"/>
      <c r="N230" s="195"/>
      <c r="O230" s="195"/>
    </row>
    <row r="231" spans="1:16" s="194" customFormat="1" ht="15" customHeight="1" outlineLevel="1">
      <c r="C231" s="93"/>
      <c r="D231" s="92"/>
      <c r="E231" s="92"/>
      <c r="F231" s="92"/>
      <c r="G231" s="92"/>
      <c r="H231" s="92"/>
      <c r="I231" s="203"/>
      <c r="J231" s="203"/>
      <c r="K231" s="203"/>
      <c r="M231" s="219"/>
      <c r="N231" s="44"/>
      <c r="O231" s="44"/>
      <c r="P231" s="166"/>
    </row>
    <row r="232" spans="1:16" s="60" customFormat="1" ht="15" customHeight="1" outlineLevel="1">
      <c r="B232" s="61"/>
      <c r="C232" s="61"/>
      <c r="D232" s="320"/>
      <c r="E232" s="320"/>
      <c r="F232" s="320"/>
      <c r="G232" s="320"/>
      <c r="H232" s="320"/>
      <c r="I232" s="320"/>
      <c r="J232" s="320"/>
      <c r="K232" s="320"/>
      <c r="L232" s="320"/>
      <c r="M232" s="61"/>
      <c r="N232" s="195"/>
      <c r="O232" s="195"/>
    </row>
    <row r="233" spans="1:16" s="60" customFormat="1" ht="15" customHeight="1" outlineLevel="1"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195"/>
      <c r="O233" s="195"/>
    </row>
    <row r="234" spans="1:16" s="60" customFormat="1" ht="15" customHeight="1">
      <c r="B234" s="254"/>
      <c r="C234" s="318"/>
      <c r="D234" s="317"/>
      <c r="E234" s="61"/>
      <c r="F234" s="224"/>
      <c r="G234" s="224"/>
      <c r="H234" s="224"/>
      <c r="I234" s="224"/>
      <c r="J234" s="224"/>
      <c r="K234" s="224"/>
      <c r="L234" s="224"/>
      <c r="M234" s="224"/>
      <c r="N234" s="44"/>
      <c r="O234" s="44"/>
    </row>
    <row r="235" spans="1:16" s="194" customFormat="1" ht="15" customHeight="1">
      <c r="A235" s="194" t="s">
        <v>0</v>
      </c>
      <c r="B235" s="316" t="s">
        <v>142</v>
      </c>
      <c r="C235" s="97"/>
      <c r="D235" s="212"/>
      <c r="E235" s="212"/>
      <c r="F235" s="95"/>
      <c r="G235" s="95"/>
      <c r="H235" s="95"/>
      <c r="I235" s="211"/>
      <c r="J235" s="210"/>
      <c r="K235" s="210"/>
      <c r="L235" s="210"/>
      <c r="M235" s="210"/>
      <c r="P235" s="44"/>
    </row>
    <row r="236" spans="1:16" s="194" customFormat="1" ht="15" customHeight="1" outlineLevel="1">
      <c r="B236" s="192"/>
      <c r="C236" s="93"/>
      <c r="D236" s="191"/>
      <c r="E236" s="191"/>
      <c r="F236" s="190"/>
      <c r="G236" s="190"/>
      <c r="H236" s="190"/>
      <c r="I236" s="190"/>
      <c r="J236" s="190"/>
      <c r="K236" s="190"/>
      <c r="L236" s="190"/>
      <c r="M236" s="190"/>
    </row>
    <row r="237" spans="1:16" s="194" customFormat="1" ht="15" customHeight="1" outlineLevel="1" thickBot="1">
      <c r="B237" s="94" t="s">
        <v>28</v>
      </c>
      <c r="C237" s="93"/>
      <c r="D237" s="92"/>
      <c r="E237" s="92"/>
      <c r="F237" s="92"/>
      <c r="G237" s="92"/>
      <c r="H237" s="208">
        <f t="shared" ref="H237:M237" si="42">H$5</f>
        <v>2022</v>
      </c>
      <c r="I237" s="150">
        <f t="shared" si="42"/>
        <v>2023</v>
      </c>
      <c r="J237" s="150">
        <f t="shared" si="42"/>
        <v>2024</v>
      </c>
      <c r="K237" s="150">
        <f t="shared" si="42"/>
        <v>2025</v>
      </c>
      <c r="L237" s="150">
        <f t="shared" si="42"/>
        <v>2026</v>
      </c>
      <c r="M237" s="150">
        <f t="shared" si="42"/>
        <v>2027</v>
      </c>
    </row>
    <row r="238" spans="1:16" ht="15" customHeight="1" outlineLevel="1">
      <c r="A238" s="60"/>
      <c r="B238" s="94" t="str">
        <f>B$6</f>
        <v>Model Running: Best Case Drivers</v>
      </c>
      <c r="C238" s="93"/>
      <c r="D238" s="92"/>
      <c r="E238" s="92"/>
      <c r="F238" s="92"/>
      <c r="G238" s="92"/>
      <c r="H238" s="92"/>
      <c r="I238" s="203"/>
      <c r="J238" s="203"/>
      <c r="K238" s="203"/>
      <c r="L238" s="203"/>
      <c r="M238" s="203"/>
      <c r="P238" s="44"/>
    </row>
    <row r="239" spans="1:16" s="194" customFormat="1" ht="15" customHeight="1" outlineLevel="1">
      <c r="B239" s="94"/>
      <c r="C239" s="93"/>
      <c r="D239" s="92"/>
      <c r="E239" s="92"/>
      <c r="F239" s="92"/>
      <c r="G239" s="92"/>
      <c r="H239" s="315"/>
      <c r="I239" s="315"/>
      <c r="J239" s="315"/>
      <c r="K239" s="315"/>
      <c r="L239" s="315"/>
      <c r="M239" s="315"/>
      <c r="P239" s="44"/>
    </row>
    <row r="240" spans="1:16" s="194" customFormat="1" ht="15" customHeight="1" outlineLevel="1">
      <c r="B240" s="314" t="s">
        <v>141</v>
      </c>
      <c r="C240" s="93"/>
      <c r="D240" s="92"/>
      <c r="E240" s="92"/>
      <c r="F240" s="312"/>
      <c r="G240" s="312"/>
      <c r="H240" s="312"/>
      <c r="I240" s="263">
        <f>Inputs!H24</f>
        <v>23000</v>
      </c>
      <c r="J240" s="262">
        <f>Inputs!I24</f>
        <v>6450</v>
      </c>
      <c r="K240" s="262">
        <f>Inputs!J24</f>
        <v>6600</v>
      </c>
      <c r="L240" s="262">
        <f>Inputs!K24</f>
        <v>6900</v>
      </c>
      <c r="M240" s="261">
        <f>Inputs!L24</f>
        <v>7200</v>
      </c>
      <c r="O240" s="69"/>
      <c r="P240" s="44"/>
    </row>
    <row r="241" spans="2:16" s="194" customFormat="1" ht="15" customHeight="1" outlineLevel="1">
      <c r="B241" s="313"/>
      <c r="C241" s="93"/>
      <c r="D241" s="92"/>
      <c r="E241" s="92"/>
      <c r="F241" s="312"/>
      <c r="G241" s="312"/>
      <c r="H241" s="312"/>
      <c r="I241" s="200"/>
      <c r="J241" s="200"/>
      <c r="K241" s="200"/>
      <c r="L241" s="200"/>
      <c r="M241" s="200"/>
      <c r="P241" s="44"/>
    </row>
    <row r="242" spans="2:16" s="194" customFormat="1" ht="15" customHeight="1" outlineLevel="1">
      <c r="B242" s="94"/>
      <c r="C242" s="93"/>
      <c r="D242" s="92"/>
      <c r="E242" s="92"/>
      <c r="F242" s="92"/>
      <c r="G242" s="92"/>
      <c r="H242" s="92"/>
      <c r="I242" s="203"/>
      <c r="J242" s="203"/>
      <c r="K242" s="203"/>
      <c r="L242" s="203"/>
      <c r="M242" s="203"/>
      <c r="P242" s="44"/>
    </row>
    <row r="243" spans="2:16" s="194" customFormat="1" ht="15" customHeight="1" outlineLevel="1">
      <c r="B243" s="231" t="s">
        <v>140</v>
      </c>
      <c r="D243" s="298"/>
      <c r="E243" s="92"/>
      <c r="F243" s="92"/>
      <c r="G243" s="92"/>
      <c r="H243" s="92"/>
      <c r="I243" s="281" t="s">
        <v>138</v>
      </c>
      <c r="J243" s="280"/>
      <c r="K243" s="280"/>
      <c r="L243" s="280"/>
      <c r="M243" s="279"/>
      <c r="P243" s="44"/>
    </row>
    <row r="244" spans="2:16" s="194" customFormat="1" ht="15" customHeight="1" outlineLevel="1">
      <c r="B244" s="311" t="s">
        <v>135</v>
      </c>
      <c r="C244" s="310" t="s">
        <v>30</v>
      </c>
      <c r="D244" s="309">
        <f>Inputs!$L$63</f>
        <v>16</v>
      </c>
      <c r="E244" s="92"/>
      <c r="F244" s="305"/>
      <c r="G244" s="92"/>
      <c r="H244" s="92"/>
      <c r="I244" s="308">
        <v>1</v>
      </c>
      <c r="J244" s="308">
        <f>I244+1</f>
        <v>2</v>
      </c>
      <c r="K244" s="308">
        <f>J244+1</f>
        <v>3</v>
      </c>
      <c r="L244" s="308">
        <f>K244+1</f>
        <v>4</v>
      </c>
      <c r="M244" s="308">
        <f>L244+1</f>
        <v>5</v>
      </c>
      <c r="P244" s="44"/>
    </row>
    <row r="245" spans="2:16" s="194" customFormat="1" ht="15" customHeight="1" outlineLevel="1">
      <c r="B245" s="291" t="s">
        <v>139</v>
      </c>
      <c r="C245" s="307" t="str">
        <f>CONCATENATE("(End of ",H237,")")</f>
        <v>(End of 2022)</v>
      </c>
      <c r="D245" s="306">
        <f>H87</f>
        <v>75407</v>
      </c>
      <c r="E245" s="92"/>
      <c r="F245" s="305"/>
      <c r="G245" s="92"/>
      <c r="H245" s="304"/>
      <c r="I245" s="303">
        <f>MIN($D244-SUM($H245:H245),1)</f>
        <v>1</v>
      </c>
      <c r="J245" s="303">
        <f>MIN($D244-SUM($H245:I245),1)</f>
        <v>1</v>
      </c>
      <c r="K245" s="303">
        <f>MIN($D244-SUM($H245:J245),1)</f>
        <v>1</v>
      </c>
      <c r="L245" s="303">
        <f>MIN($D244-SUM($H245:K245),1)</f>
        <v>1</v>
      </c>
      <c r="M245" s="302">
        <f>MIN($D244-SUM($H245:L245),1)</f>
        <v>1</v>
      </c>
      <c r="N245" s="260"/>
      <c r="O245" s="260"/>
      <c r="P245" s="260"/>
    </row>
    <row r="246" spans="2:16" s="194" customFormat="1" ht="15" customHeight="1" outlineLevel="1">
      <c r="B246" s="64"/>
      <c r="D246" s="301"/>
      <c r="E246" s="92"/>
      <c r="F246" s="92"/>
      <c r="G246" s="92"/>
      <c r="H246" s="92"/>
      <c r="I246" s="287"/>
      <c r="J246" s="287"/>
      <c r="K246" s="287"/>
      <c r="L246" s="287"/>
      <c r="M246" s="287"/>
      <c r="P246" s="195"/>
    </row>
    <row r="247" spans="2:16" s="194" customFormat="1" ht="15" customHeight="1" outlineLevel="1">
      <c r="B247" s="64"/>
      <c r="E247" s="92"/>
      <c r="F247" s="92"/>
      <c r="G247" s="92"/>
      <c r="H247" s="92"/>
      <c r="I247" s="287"/>
      <c r="J247" s="287"/>
      <c r="K247" s="287"/>
      <c r="L247" s="287"/>
      <c r="M247" s="287"/>
      <c r="P247" s="300"/>
    </row>
    <row r="248" spans="2:16" s="194" customFormat="1" ht="15" customHeight="1" outlineLevel="1">
      <c r="B248" s="94"/>
      <c r="D248" s="93"/>
      <c r="E248" s="92"/>
      <c r="F248" s="92"/>
      <c r="G248" s="92"/>
      <c r="H248" s="92"/>
      <c r="I248" s="281" t="s">
        <v>138</v>
      </c>
      <c r="J248" s="280"/>
      <c r="K248" s="280"/>
      <c r="L248" s="280"/>
      <c r="M248" s="279"/>
      <c r="N248" s="299"/>
      <c r="O248" s="299"/>
    </row>
    <row r="249" spans="2:16" s="194" customFormat="1" ht="15" customHeight="1" outlineLevel="1">
      <c r="B249" s="231" t="s">
        <v>137</v>
      </c>
      <c r="D249" s="298"/>
      <c r="F249" s="204" t="s">
        <v>132</v>
      </c>
      <c r="G249" s="204" t="s">
        <v>136</v>
      </c>
      <c r="H249" s="92"/>
      <c r="I249" s="278">
        <f>I$237</f>
        <v>2023</v>
      </c>
      <c r="J249" s="278">
        <f>J$237</f>
        <v>2024</v>
      </c>
      <c r="K249" s="278">
        <f>K$237</f>
        <v>2025</v>
      </c>
      <c r="L249" s="278">
        <f>L$237</f>
        <v>2026</v>
      </c>
      <c r="M249" s="278">
        <f>M$237</f>
        <v>2027</v>
      </c>
    </row>
    <row r="250" spans="2:16" s="194" customFormat="1" ht="15" customHeight="1" outlineLevel="1">
      <c r="B250" s="238" t="s">
        <v>135</v>
      </c>
      <c r="C250" s="297" t="s">
        <v>30</v>
      </c>
      <c r="D250" s="296">
        <f>Inputs!$L$64</f>
        <v>20</v>
      </c>
      <c r="F250" s="277">
        <f>I237</f>
        <v>2023</v>
      </c>
      <c r="G250" s="295">
        <f>$D$250</f>
        <v>20</v>
      </c>
      <c r="H250" s="294"/>
      <c r="I250" s="293">
        <f>IF(H250="",$D$251,MIN($D250-SUM($H250:H250),1))</f>
        <v>0.5</v>
      </c>
      <c r="J250" s="293">
        <f>IF(I250="",$D$251,MIN($D250-SUM($H250:I250),1))</f>
        <v>1</v>
      </c>
      <c r="K250" s="293">
        <f>IF(J250="",$D$251,MIN($D250-SUM($H250:J250),1))</f>
        <v>1</v>
      </c>
      <c r="L250" s="293">
        <f>IF(K250="",$D$251,MIN($D250-SUM($H250:K250),1))</f>
        <v>1</v>
      </c>
      <c r="M250" s="292">
        <f>IF(L250="",$D$251,MIN($D250-SUM($H250:L250),1))</f>
        <v>1</v>
      </c>
    </row>
    <row r="251" spans="2:16" s="194" customFormat="1" ht="15" customHeight="1" outlineLevel="1">
      <c r="B251" s="291" t="s">
        <v>134</v>
      </c>
      <c r="C251" s="290"/>
      <c r="D251" s="282">
        <f>Inputs!$L$62</f>
        <v>0.5</v>
      </c>
      <c r="F251" s="272">
        <f>F250+1</f>
        <v>2024</v>
      </c>
      <c r="G251" s="289">
        <f>$D$250</f>
        <v>20</v>
      </c>
      <c r="H251" s="288"/>
      <c r="I251" s="287">
        <f t="shared" ref="I251:M254" si="43">H250</f>
        <v>0</v>
      </c>
      <c r="J251" s="287">
        <f t="shared" si="43"/>
        <v>0.5</v>
      </c>
      <c r="K251" s="287">
        <f t="shared" si="43"/>
        <v>1</v>
      </c>
      <c r="L251" s="287">
        <f t="shared" si="43"/>
        <v>1</v>
      </c>
      <c r="M251" s="286">
        <f t="shared" si="43"/>
        <v>1</v>
      </c>
      <c r="P251" s="193"/>
    </row>
    <row r="252" spans="2:16" s="194" customFormat="1" ht="15" customHeight="1" outlineLevel="1">
      <c r="B252" s="94"/>
      <c r="D252" s="204"/>
      <c r="F252" s="272">
        <f>F251+1</f>
        <v>2025</v>
      </c>
      <c r="G252" s="289">
        <f>$D$250</f>
        <v>20</v>
      </c>
      <c r="H252" s="288"/>
      <c r="I252" s="287">
        <f t="shared" si="43"/>
        <v>0</v>
      </c>
      <c r="J252" s="287">
        <f t="shared" si="43"/>
        <v>0</v>
      </c>
      <c r="K252" s="287">
        <f t="shared" si="43"/>
        <v>0.5</v>
      </c>
      <c r="L252" s="287">
        <f t="shared" si="43"/>
        <v>1</v>
      </c>
      <c r="M252" s="286">
        <f t="shared" si="43"/>
        <v>1</v>
      </c>
    </row>
    <row r="253" spans="2:16" s="194" customFormat="1" ht="15" customHeight="1" outlineLevel="1">
      <c r="B253" s="94"/>
      <c r="D253" s="204"/>
      <c r="F253" s="272">
        <f>F252+1</f>
        <v>2026</v>
      </c>
      <c r="G253" s="289">
        <f>$D$250</f>
        <v>20</v>
      </c>
      <c r="H253" s="288"/>
      <c r="I253" s="287">
        <f t="shared" si="43"/>
        <v>0</v>
      </c>
      <c r="J253" s="287">
        <f t="shared" si="43"/>
        <v>0</v>
      </c>
      <c r="K253" s="287">
        <f t="shared" si="43"/>
        <v>0</v>
      </c>
      <c r="L253" s="287">
        <f t="shared" si="43"/>
        <v>0.5</v>
      </c>
      <c r="M253" s="286">
        <f t="shared" si="43"/>
        <v>1</v>
      </c>
    </row>
    <row r="254" spans="2:16" s="194" customFormat="1" ht="15" customHeight="1" outlineLevel="1">
      <c r="B254" s="94"/>
      <c r="D254" s="204"/>
      <c r="F254" s="269">
        <f>F253+1</f>
        <v>2027</v>
      </c>
      <c r="G254" s="285">
        <f>$D$250</f>
        <v>20</v>
      </c>
      <c r="H254" s="284"/>
      <c r="I254" s="283">
        <f t="shared" si="43"/>
        <v>0</v>
      </c>
      <c r="J254" s="283">
        <f t="shared" si="43"/>
        <v>0</v>
      </c>
      <c r="K254" s="283">
        <f t="shared" si="43"/>
        <v>0</v>
      </c>
      <c r="L254" s="283">
        <f t="shared" si="43"/>
        <v>0</v>
      </c>
      <c r="M254" s="282">
        <f t="shared" si="43"/>
        <v>0.5</v>
      </c>
    </row>
    <row r="255" spans="2:16" s="194" customFormat="1" ht="15" customHeight="1" outlineLevel="1">
      <c r="B255" s="94"/>
      <c r="C255" s="93"/>
      <c r="D255" s="204"/>
      <c r="E255" s="92"/>
      <c r="F255" s="92"/>
      <c r="G255" s="92"/>
      <c r="H255" s="92"/>
      <c r="I255" s="203"/>
      <c r="J255" s="203"/>
      <c r="K255" s="203"/>
      <c r="L255" s="203"/>
      <c r="M255" s="203"/>
      <c r="N255" s="195"/>
      <c r="O255" s="195"/>
    </row>
    <row r="256" spans="2:16" s="194" customFormat="1" ht="15" customHeight="1" outlineLevel="1">
      <c r="B256" s="94"/>
      <c r="C256" s="93"/>
      <c r="D256" s="204"/>
      <c r="E256" s="92"/>
      <c r="F256" s="92"/>
      <c r="G256" s="92"/>
      <c r="H256" s="92"/>
      <c r="I256" s="203"/>
      <c r="J256" s="203"/>
      <c r="K256" s="203"/>
      <c r="L256" s="203"/>
      <c r="M256" s="203"/>
      <c r="N256" s="195"/>
      <c r="O256" s="195"/>
    </row>
    <row r="257" spans="2:16" s="194" customFormat="1" ht="15" customHeight="1" outlineLevel="1">
      <c r="B257" s="94"/>
      <c r="C257" s="93"/>
      <c r="D257" s="92"/>
      <c r="E257" s="92"/>
      <c r="F257" s="92"/>
      <c r="G257" s="92"/>
      <c r="H257" s="92"/>
      <c r="I257" s="281" t="s">
        <v>133</v>
      </c>
      <c r="J257" s="280"/>
      <c r="K257" s="280"/>
      <c r="L257" s="280"/>
      <c r="M257" s="279"/>
      <c r="N257" s="195"/>
      <c r="O257" s="195"/>
    </row>
    <row r="258" spans="2:16" s="194" customFormat="1" ht="15" customHeight="1" outlineLevel="1">
      <c r="E258" s="92"/>
      <c r="F258" s="204" t="s">
        <v>132</v>
      </c>
      <c r="G258" s="204" t="s">
        <v>131</v>
      </c>
      <c r="H258" s="204" t="s">
        <v>130</v>
      </c>
      <c r="I258" s="278">
        <f>I$237</f>
        <v>2023</v>
      </c>
      <c r="J258" s="278">
        <f>J$237</f>
        <v>2024</v>
      </c>
      <c r="K258" s="278">
        <f>K$237</f>
        <v>2025</v>
      </c>
      <c r="L258" s="278">
        <f>L$237</f>
        <v>2026</v>
      </c>
      <c r="M258" s="278">
        <f>M$237</f>
        <v>2027</v>
      </c>
      <c r="N258" s="195"/>
      <c r="O258" s="195"/>
    </row>
    <row r="259" spans="2:16" s="194" customFormat="1" ht="15" customHeight="1" outlineLevel="1">
      <c r="B259" s="94"/>
      <c r="E259" s="92"/>
      <c r="F259" s="277">
        <f>F250</f>
        <v>2023</v>
      </c>
      <c r="G259" s="276">
        <f>SUMIF($I$237:$M$237,F259,$I$240:$M$240)</f>
        <v>23000</v>
      </c>
      <c r="H259" s="275">
        <f>G259/G250</f>
        <v>1150</v>
      </c>
      <c r="I259" s="274">
        <f t="shared" ref="I259:M263" si="44">$H259*I250</f>
        <v>575</v>
      </c>
      <c r="J259" s="274">
        <f t="shared" si="44"/>
        <v>1150</v>
      </c>
      <c r="K259" s="274">
        <f t="shared" si="44"/>
        <v>1150</v>
      </c>
      <c r="L259" s="274">
        <f t="shared" si="44"/>
        <v>1150</v>
      </c>
      <c r="M259" s="273">
        <f t="shared" si="44"/>
        <v>1150</v>
      </c>
    </row>
    <row r="260" spans="2:16" s="194" customFormat="1" ht="15" customHeight="1" outlineLevel="1">
      <c r="B260" s="94"/>
      <c r="E260" s="92"/>
      <c r="F260" s="272">
        <f>F251</f>
        <v>2024</v>
      </c>
      <c r="G260" s="264">
        <f>SUMIF($I$237:$M$237,F260,$I$240:$M$240)</f>
        <v>6450</v>
      </c>
      <c r="H260" s="271">
        <f>G260/G251</f>
        <v>322.5</v>
      </c>
      <c r="I260" s="71">
        <f t="shared" si="44"/>
        <v>0</v>
      </c>
      <c r="J260" s="71">
        <f t="shared" si="44"/>
        <v>161.25</v>
      </c>
      <c r="K260" s="71">
        <f t="shared" si="44"/>
        <v>322.5</v>
      </c>
      <c r="L260" s="71">
        <f t="shared" si="44"/>
        <v>322.5</v>
      </c>
      <c r="M260" s="270">
        <f t="shared" si="44"/>
        <v>322.5</v>
      </c>
    </row>
    <row r="261" spans="2:16" s="194" customFormat="1" ht="15" customHeight="1" outlineLevel="1">
      <c r="B261" s="94"/>
      <c r="E261" s="92"/>
      <c r="F261" s="272">
        <f>F252</f>
        <v>2025</v>
      </c>
      <c r="G261" s="264">
        <f>SUMIF($I$237:$M$237,F261,$I$240:$M$240)</f>
        <v>6600</v>
      </c>
      <c r="H261" s="271">
        <f>G261/G252</f>
        <v>330</v>
      </c>
      <c r="I261" s="71">
        <f t="shared" si="44"/>
        <v>0</v>
      </c>
      <c r="J261" s="71">
        <f t="shared" si="44"/>
        <v>0</v>
      </c>
      <c r="K261" s="71">
        <f t="shared" si="44"/>
        <v>165</v>
      </c>
      <c r="L261" s="71">
        <f t="shared" si="44"/>
        <v>330</v>
      </c>
      <c r="M261" s="270">
        <f t="shared" si="44"/>
        <v>330</v>
      </c>
      <c r="P261" s="195"/>
    </row>
    <row r="262" spans="2:16" s="194" customFormat="1" ht="15" customHeight="1" outlineLevel="1">
      <c r="B262" s="94"/>
      <c r="E262" s="92"/>
      <c r="F262" s="272">
        <f>F253</f>
        <v>2026</v>
      </c>
      <c r="G262" s="264">
        <f>SUMIF($I$237:$M$237,F262,$I$240:$M$240)</f>
        <v>6900</v>
      </c>
      <c r="H262" s="271">
        <f>G262/G253</f>
        <v>345</v>
      </c>
      <c r="I262" s="71">
        <f t="shared" si="44"/>
        <v>0</v>
      </c>
      <c r="J262" s="71">
        <f t="shared" si="44"/>
        <v>0</v>
      </c>
      <c r="K262" s="71">
        <f t="shared" si="44"/>
        <v>0</v>
      </c>
      <c r="L262" s="71">
        <f t="shared" si="44"/>
        <v>172.5</v>
      </c>
      <c r="M262" s="270">
        <f t="shared" si="44"/>
        <v>345</v>
      </c>
      <c r="P262" s="195"/>
    </row>
    <row r="263" spans="2:16" s="194" customFormat="1" ht="15" customHeight="1" outlineLevel="1">
      <c r="B263" s="94"/>
      <c r="E263" s="92"/>
      <c r="F263" s="269">
        <f>F254</f>
        <v>2027</v>
      </c>
      <c r="G263" s="268">
        <f>SUMIF($I$237:$M$237,F263,$I$240:$M$240)</f>
        <v>7200</v>
      </c>
      <c r="H263" s="267">
        <f>G263/G254</f>
        <v>360</v>
      </c>
      <c r="I263" s="73">
        <f t="shared" si="44"/>
        <v>0</v>
      </c>
      <c r="J263" s="73">
        <f t="shared" si="44"/>
        <v>0</v>
      </c>
      <c r="K263" s="73">
        <f t="shared" si="44"/>
        <v>0</v>
      </c>
      <c r="L263" s="73">
        <f t="shared" si="44"/>
        <v>0</v>
      </c>
      <c r="M263" s="266">
        <f t="shared" si="44"/>
        <v>180</v>
      </c>
      <c r="P263" s="195"/>
    </row>
    <row r="264" spans="2:16" s="194" customFormat="1" ht="15" customHeight="1" outlineLevel="1">
      <c r="B264" s="94"/>
      <c r="E264" s="92"/>
      <c r="F264" s="265"/>
      <c r="G264" s="264"/>
      <c r="H264" s="264"/>
      <c r="I264" s="71"/>
      <c r="J264" s="71"/>
      <c r="K264" s="71"/>
      <c r="L264" s="71"/>
      <c r="M264" s="71"/>
      <c r="P264" s="195"/>
    </row>
    <row r="265" spans="2:16" s="194" customFormat="1" ht="15" customHeight="1" outlineLevel="1">
      <c r="B265" s="199"/>
      <c r="C265" s="198"/>
      <c r="D265" s="197"/>
      <c r="E265" s="197"/>
      <c r="F265" s="197"/>
      <c r="G265" s="197"/>
      <c r="H265" s="197"/>
      <c r="I265" s="196"/>
      <c r="J265" s="196"/>
      <c r="K265" s="196"/>
      <c r="L265" s="196"/>
      <c r="M265" s="196"/>
      <c r="N265" s="195"/>
      <c r="O265" s="195"/>
    </row>
    <row r="266" spans="2:16" s="194" customFormat="1" ht="15" customHeight="1" outlineLevel="1">
      <c r="B266" s="94"/>
      <c r="C266" s="93"/>
      <c r="D266" s="92"/>
      <c r="E266" s="92"/>
      <c r="F266" s="92"/>
      <c r="G266" s="92"/>
      <c r="H266" s="92"/>
      <c r="I266" s="203"/>
      <c r="J266" s="203"/>
      <c r="K266" s="203"/>
      <c r="L266" s="203"/>
      <c r="M266" s="203"/>
      <c r="N266" s="195"/>
      <c r="O266" s="195"/>
    </row>
    <row r="267" spans="2:16" s="194" customFormat="1" ht="15" customHeight="1" outlineLevel="1">
      <c r="B267" s="94"/>
      <c r="C267" s="93"/>
      <c r="D267" s="92"/>
      <c r="E267" s="92"/>
      <c r="F267" s="92"/>
      <c r="G267" s="92"/>
      <c r="H267" s="92"/>
      <c r="I267" s="203"/>
      <c r="J267" s="203"/>
      <c r="K267" s="203"/>
      <c r="L267" s="203"/>
      <c r="M267" s="203"/>
      <c r="N267" s="195"/>
      <c r="O267" s="195"/>
    </row>
    <row r="268" spans="2:16" s="194" customFormat="1" ht="15" customHeight="1" outlineLevel="1">
      <c r="B268" s="231" t="s">
        <v>129</v>
      </c>
      <c r="C268" s="93"/>
      <c r="D268" s="92"/>
      <c r="E268" s="92"/>
      <c r="F268" s="92"/>
      <c r="G268" s="92"/>
      <c r="H268" s="92"/>
      <c r="I268" s="203"/>
      <c r="J268" s="203"/>
      <c r="K268" s="203"/>
      <c r="L268" s="203"/>
      <c r="M268" s="203"/>
      <c r="N268" s="195"/>
      <c r="O268" s="195"/>
      <c r="P268" s="260"/>
    </row>
    <row r="269" spans="2:16" s="194" customFormat="1" ht="15" customHeight="1" outlineLevel="1">
      <c r="B269" s="72" t="s">
        <v>128</v>
      </c>
      <c r="C269" s="93"/>
      <c r="D269" s="92"/>
      <c r="E269" s="92"/>
      <c r="F269" s="224"/>
      <c r="G269" s="224"/>
      <c r="H269" s="224"/>
      <c r="I269" s="200">
        <f>($D$245/$D$244)*I245</f>
        <v>4712.9375</v>
      </c>
      <c r="J269" s="200">
        <f>($D$245/$D$244)*J245</f>
        <v>4712.9375</v>
      </c>
      <c r="K269" s="200">
        <f>($D$245/$D$244)*K245</f>
        <v>4712.9375</v>
      </c>
      <c r="L269" s="200">
        <f>($D$245/$D$244)*L245</f>
        <v>4712.9375</v>
      </c>
      <c r="M269" s="200">
        <f>($D$245/$D$244)*M245</f>
        <v>4712.9375</v>
      </c>
      <c r="N269" s="44"/>
      <c r="O269" s="44"/>
    </row>
    <row r="270" spans="2:16" s="194" customFormat="1" ht="15" customHeight="1" outlineLevel="1">
      <c r="B270" s="72" t="s">
        <v>127</v>
      </c>
      <c r="C270" s="93"/>
      <c r="D270" s="92"/>
      <c r="E270" s="92"/>
      <c r="F270" s="92"/>
      <c r="G270" s="92"/>
      <c r="H270" s="92"/>
      <c r="I270" s="200">
        <f>SUM(I259:I263)</f>
        <v>575</v>
      </c>
      <c r="J270" s="200">
        <f>SUM(J259:J263)</f>
        <v>1311.25</v>
      </c>
      <c r="K270" s="200">
        <f>SUM(K259:K263)</f>
        <v>1637.5</v>
      </c>
      <c r="L270" s="200">
        <f>SUM(L259:L263)</f>
        <v>1975</v>
      </c>
      <c r="M270" s="200">
        <f>SUM(M259:M263)</f>
        <v>2327.5</v>
      </c>
      <c r="N270" s="44"/>
      <c r="O270" s="44"/>
    </row>
    <row r="271" spans="2:16" s="194" customFormat="1" ht="15" customHeight="1" outlineLevel="1" thickBot="1">
      <c r="B271" s="72" t="s">
        <v>126</v>
      </c>
      <c r="C271" s="93"/>
      <c r="D271" s="92"/>
      <c r="E271" s="92"/>
      <c r="F271" s="92"/>
      <c r="G271" s="92"/>
      <c r="H271" s="92"/>
      <c r="I271" s="223">
        <f>SUM(I269:I270)</f>
        <v>5287.9375</v>
      </c>
      <c r="J271" s="223">
        <f>SUM(J269:J270)</f>
        <v>6024.1875</v>
      </c>
      <c r="K271" s="223">
        <f>SUM(K269:K270)</f>
        <v>6350.4375</v>
      </c>
      <c r="L271" s="223">
        <f>SUM(L269:L270)</f>
        <v>6687.9375</v>
      </c>
      <c r="M271" s="223">
        <f>SUM(M269:M270)</f>
        <v>7040.4375</v>
      </c>
      <c r="N271" s="195"/>
      <c r="O271" s="195"/>
    </row>
    <row r="272" spans="2:16" s="194" customFormat="1" ht="15" customHeight="1" outlineLevel="1">
      <c r="B272" s="94"/>
      <c r="C272" s="93"/>
      <c r="D272" s="92"/>
      <c r="E272" s="92"/>
      <c r="F272" s="92"/>
      <c r="G272" s="92"/>
      <c r="H272" s="92"/>
      <c r="I272" s="224"/>
      <c r="J272" s="224"/>
      <c r="K272" s="224"/>
      <c r="L272" s="224"/>
      <c r="M272" s="224"/>
      <c r="N272" s="195"/>
      <c r="O272" s="195"/>
    </row>
    <row r="273" spans="1:16" s="194" customFormat="1" ht="15" customHeight="1" outlineLevel="1">
      <c r="B273" s="94"/>
      <c r="C273" s="93"/>
      <c r="D273" s="92"/>
      <c r="E273" s="92"/>
      <c r="F273" s="92"/>
      <c r="G273" s="92"/>
      <c r="H273" s="92"/>
      <c r="I273" s="224"/>
      <c r="J273" s="224"/>
      <c r="K273" s="224"/>
      <c r="L273" s="224"/>
      <c r="M273" s="224"/>
      <c r="N273" s="195"/>
      <c r="O273" s="195"/>
    </row>
    <row r="274" spans="1:16" s="194" customFormat="1" ht="15" customHeight="1" outlineLevel="1">
      <c r="C274" s="93"/>
      <c r="D274" s="92"/>
      <c r="E274" s="92"/>
      <c r="F274" s="92"/>
      <c r="G274" s="92"/>
      <c r="H274" s="92"/>
      <c r="I274" s="203"/>
      <c r="J274" s="203"/>
      <c r="K274" s="203"/>
      <c r="L274" s="203"/>
      <c r="M274" s="219" t="s">
        <v>125</v>
      </c>
      <c r="N274" s="44"/>
      <c r="O274" s="44"/>
      <c r="P274" s="166"/>
    </row>
    <row r="275" spans="1:16" s="194" customFormat="1" ht="15" customHeight="1" outlineLevel="1">
      <c r="C275" s="93"/>
      <c r="D275" s="92"/>
      <c r="E275" s="92"/>
      <c r="F275" s="92"/>
      <c r="G275" s="92"/>
      <c r="H275" s="92"/>
      <c r="I275" s="203"/>
      <c r="J275" s="203"/>
      <c r="K275" s="203"/>
      <c r="L275" s="203"/>
      <c r="M275" s="218" t="s">
        <v>124</v>
      </c>
      <c r="N275" s="44"/>
      <c r="O275" s="44"/>
      <c r="P275" s="166"/>
    </row>
    <row r="276" spans="1:16" s="194" customFormat="1" ht="15" customHeight="1" outlineLevel="1">
      <c r="C276" s="93"/>
      <c r="D276" s="92"/>
      <c r="E276" s="92"/>
      <c r="F276" s="92"/>
      <c r="G276" s="92"/>
      <c r="H276" s="92"/>
      <c r="I276" s="203"/>
      <c r="J276" s="203"/>
      <c r="K276" s="203"/>
      <c r="L276" s="203"/>
      <c r="M276" s="245"/>
      <c r="N276" s="44"/>
      <c r="O276" s="44"/>
      <c r="P276" s="166"/>
    </row>
    <row r="277" spans="1:16" s="194" customFormat="1" ht="15" customHeight="1" outlineLevel="1">
      <c r="B277" s="199"/>
      <c r="C277" s="198"/>
      <c r="D277" s="197"/>
      <c r="E277" s="197"/>
      <c r="F277" s="197"/>
      <c r="G277" s="197"/>
      <c r="H277" s="197"/>
      <c r="I277" s="196"/>
      <c r="J277" s="196"/>
      <c r="K277" s="196"/>
      <c r="L277" s="196"/>
      <c r="M277" s="196"/>
      <c r="N277" s="195"/>
      <c r="O277" s="195"/>
    </row>
    <row r="278" spans="1:16" s="194" customFormat="1" ht="15" customHeight="1">
      <c r="B278" s="94"/>
      <c r="C278" s="93"/>
      <c r="D278" s="92"/>
      <c r="E278" s="92"/>
      <c r="F278" s="92"/>
      <c r="G278" s="92"/>
      <c r="H278" s="92"/>
      <c r="I278" s="203"/>
      <c r="J278" s="203"/>
      <c r="K278" s="203"/>
      <c r="L278" s="203"/>
      <c r="M278" s="203"/>
      <c r="N278" s="195"/>
      <c r="O278" s="195"/>
    </row>
    <row r="279" spans="1:16" s="194" customFormat="1" ht="15" customHeight="1">
      <c r="A279" s="194" t="s">
        <v>0</v>
      </c>
      <c r="B279" s="98" t="s">
        <v>123</v>
      </c>
      <c r="C279" s="97"/>
      <c r="D279" s="212"/>
      <c r="E279" s="212"/>
      <c r="F279" s="95"/>
      <c r="G279" s="95"/>
      <c r="H279" s="95"/>
      <c r="I279" s="211"/>
      <c r="J279" s="210"/>
      <c r="K279" s="210"/>
      <c r="L279" s="210"/>
      <c r="M279" s="210"/>
      <c r="N279" s="195"/>
      <c r="O279" s="195"/>
      <c r="P279" s="195"/>
    </row>
    <row r="280" spans="1:16" s="194" customFormat="1" ht="15" customHeight="1" outlineLevel="1">
      <c r="B280" s="192"/>
      <c r="C280" s="93"/>
      <c r="D280" s="191"/>
      <c r="E280" s="191"/>
      <c r="F280" s="190"/>
      <c r="G280" s="190"/>
      <c r="H280" s="190"/>
      <c r="I280" s="190"/>
      <c r="J280" s="190"/>
      <c r="K280" s="190"/>
      <c r="L280" s="190"/>
      <c r="M280" s="190"/>
      <c r="N280" s="195"/>
      <c r="O280" s="195"/>
      <c r="P280" s="166"/>
    </row>
    <row r="281" spans="1:16" s="194" customFormat="1" ht="15" customHeight="1" outlineLevel="1" thickBot="1">
      <c r="B281" s="94" t="s">
        <v>28</v>
      </c>
      <c r="C281" s="93"/>
      <c r="D281" s="92"/>
      <c r="E281" s="92"/>
      <c r="F281" s="190"/>
      <c r="G281" s="92"/>
      <c r="H281" s="208">
        <f t="shared" ref="H281:M281" si="45">H$5</f>
        <v>2022</v>
      </c>
      <c r="I281" s="150">
        <f t="shared" si="45"/>
        <v>2023</v>
      </c>
      <c r="J281" s="150">
        <f t="shared" si="45"/>
        <v>2024</v>
      </c>
      <c r="K281" s="150">
        <f t="shared" si="45"/>
        <v>2025</v>
      </c>
      <c r="L281" s="150">
        <f t="shared" si="45"/>
        <v>2026</v>
      </c>
      <c r="M281" s="150">
        <f t="shared" si="45"/>
        <v>2027</v>
      </c>
      <c r="N281" s="44"/>
      <c r="O281" s="44"/>
      <c r="P281" s="166"/>
    </row>
    <row r="282" spans="1:16" ht="15" customHeight="1" outlineLevel="1">
      <c r="A282" s="60"/>
      <c r="B282" s="94" t="str">
        <f>B$6</f>
        <v>Model Running: Best Case Drivers</v>
      </c>
      <c r="C282" s="93"/>
      <c r="D282" s="92"/>
      <c r="E282" s="92"/>
      <c r="F282" s="92"/>
      <c r="G282" s="92"/>
      <c r="H282" s="92"/>
      <c r="I282" s="203"/>
      <c r="J282" s="203"/>
      <c r="K282" s="203"/>
      <c r="L282" s="203"/>
      <c r="M282" s="203"/>
      <c r="P282" s="44"/>
    </row>
    <row r="283" spans="1:16" s="194" customFormat="1" ht="15" customHeight="1" outlineLevel="1">
      <c r="B283" s="94"/>
      <c r="C283" s="93"/>
      <c r="D283" s="92"/>
      <c r="E283" s="92"/>
      <c r="F283" s="92"/>
      <c r="G283" s="92"/>
      <c r="H283" s="92"/>
      <c r="I283" s="203"/>
      <c r="J283" s="203"/>
      <c r="K283" s="203"/>
      <c r="L283" s="203"/>
      <c r="M283" s="203"/>
      <c r="N283" s="195"/>
      <c r="O283" s="195"/>
      <c r="P283" s="44"/>
    </row>
    <row r="284" spans="1:16" s="194" customFormat="1" ht="15" customHeight="1" outlineLevel="1">
      <c r="B284" s="64" t="s">
        <v>64</v>
      </c>
      <c r="C284" s="93"/>
      <c r="D284" s="92"/>
      <c r="E284" s="92"/>
      <c r="F284" s="92"/>
      <c r="G284" s="200"/>
      <c r="H284" s="200"/>
      <c r="I284" s="263">
        <f>I240</f>
        <v>23000</v>
      </c>
      <c r="J284" s="262">
        <f>J240</f>
        <v>6450</v>
      </c>
      <c r="K284" s="262">
        <f>K240</f>
        <v>6600</v>
      </c>
      <c r="L284" s="262">
        <f>L240</f>
        <v>6900</v>
      </c>
      <c r="M284" s="261">
        <f>M240</f>
        <v>7200</v>
      </c>
      <c r="P284" s="260"/>
    </row>
    <row r="285" spans="1:16" s="194" customFormat="1" ht="15" customHeight="1" outlineLevel="1">
      <c r="B285" s="94"/>
      <c r="C285" s="93"/>
      <c r="D285" s="92"/>
      <c r="E285" s="92"/>
      <c r="F285" s="92"/>
      <c r="G285" s="92"/>
      <c r="H285" s="92"/>
      <c r="I285" s="203"/>
      <c r="J285" s="203"/>
      <c r="K285" s="203"/>
      <c r="L285" s="203"/>
      <c r="M285" s="203"/>
      <c r="P285" s="195"/>
    </row>
    <row r="286" spans="1:16" s="194" customFormat="1" ht="15" customHeight="1" outlineLevel="1">
      <c r="B286" s="238" t="s">
        <v>46</v>
      </c>
      <c r="C286" s="259"/>
      <c r="D286" s="258">
        <f>Inputs!$L$53</f>
        <v>0.5</v>
      </c>
      <c r="E286" s="92"/>
      <c r="F286" s="92"/>
      <c r="G286" s="92"/>
      <c r="H286" s="92"/>
      <c r="I286" s="203"/>
      <c r="J286" s="203"/>
      <c r="K286" s="203"/>
      <c r="L286" s="203"/>
      <c r="M286" s="203"/>
      <c r="P286" s="195"/>
    </row>
    <row r="287" spans="1:16" s="194" customFormat="1" ht="15" customHeight="1" outlineLevel="1">
      <c r="B287" s="257" t="s">
        <v>45</v>
      </c>
      <c r="C287" s="256"/>
      <c r="D287" s="255">
        <f>Inputs!$L$54</f>
        <v>0.15</v>
      </c>
      <c r="E287" s="92"/>
      <c r="F287" s="92"/>
      <c r="G287" s="92"/>
      <c r="H287" s="92"/>
      <c r="J287" s="203"/>
      <c r="K287" s="203"/>
      <c r="L287" s="203"/>
      <c r="M287" s="203"/>
      <c r="P287" s="195"/>
    </row>
    <row r="288" spans="1:16" s="194" customFormat="1" ht="15" customHeight="1" outlineLevel="1">
      <c r="B288" s="254"/>
      <c r="C288" s="253"/>
      <c r="D288" s="252"/>
      <c r="E288" s="92"/>
      <c r="F288" s="92"/>
      <c r="G288" s="92"/>
      <c r="H288" s="92"/>
      <c r="I288" s="251"/>
      <c r="J288" s="251"/>
      <c r="K288" s="251"/>
      <c r="L288" s="251"/>
      <c r="M288" s="251"/>
      <c r="P288" s="166"/>
    </row>
    <row r="289" spans="2:16" s="194" customFormat="1" ht="15" customHeight="1" outlineLevel="1">
      <c r="B289" s="254"/>
      <c r="C289" s="253"/>
      <c r="D289" s="252"/>
      <c r="E289" s="92"/>
      <c r="F289" s="92"/>
      <c r="G289" s="92"/>
      <c r="H289" s="92"/>
      <c r="I289" s="251"/>
      <c r="J289" s="251"/>
      <c r="K289" s="251"/>
      <c r="L289" s="251"/>
      <c r="M289" s="251"/>
      <c r="P289" s="203"/>
    </row>
    <row r="290" spans="2:16" s="194" customFormat="1" ht="15" customHeight="1" outlineLevel="1">
      <c r="B290" s="231" t="s">
        <v>122</v>
      </c>
      <c r="C290" s="93"/>
      <c r="D290" s="92"/>
      <c r="E290" s="92"/>
      <c r="F290" s="92"/>
      <c r="G290" s="92"/>
      <c r="H290" s="92"/>
      <c r="I290" s="203"/>
      <c r="J290" s="203"/>
      <c r="K290" s="203"/>
      <c r="L290" s="203"/>
      <c r="M290" s="203"/>
      <c r="P290" s="203"/>
    </row>
    <row r="291" spans="2:16" s="194" customFormat="1" ht="15" customHeight="1" outlineLevel="1">
      <c r="B291" s="72" t="s">
        <v>105</v>
      </c>
      <c r="C291" s="93"/>
      <c r="D291" s="92"/>
      <c r="E291" s="92"/>
      <c r="F291" s="92"/>
      <c r="G291" s="224"/>
      <c r="H291" s="200"/>
      <c r="I291" s="200">
        <f>H294</f>
        <v>75407</v>
      </c>
      <c r="J291" s="200">
        <f>I294</f>
        <v>93119.0625</v>
      </c>
      <c r="K291" s="200">
        <f>J294</f>
        <v>93544.875</v>
      </c>
      <c r="L291" s="200">
        <f>K294</f>
        <v>93794.4375</v>
      </c>
      <c r="M291" s="200">
        <f>L294</f>
        <v>94006.5</v>
      </c>
    </row>
    <row r="292" spans="2:16" s="194" customFormat="1" ht="15" customHeight="1" outlineLevel="1">
      <c r="B292" s="72" t="s">
        <v>64</v>
      </c>
      <c r="C292" s="93"/>
      <c r="D292" s="92"/>
      <c r="E292" s="92"/>
      <c r="F292" s="92"/>
      <c r="G292" s="224"/>
      <c r="H292" s="250"/>
      <c r="I292" s="200">
        <f>I284</f>
        <v>23000</v>
      </c>
      <c r="J292" s="200">
        <f>J284</f>
        <v>6450</v>
      </c>
      <c r="K292" s="200">
        <f>K284</f>
        <v>6600</v>
      </c>
      <c r="L292" s="200">
        <f>L284</f>
        <v>6900</v>
      </c>
      <c r="M292" s="200">
        <f>M284</f>
        <v>7200</v>
      </c>
    </row>
    <row r="293" spans="2:16" s="194" customFormat="1" ht="15" customHeight="1" outlineLevel="1">
      <c r="B293" s="72" t="s">
        <v>121</v>
      </c>
      <c r="C293" s="93"/>
      <c r="D293" s="92"/>
      <c r="E293" s="92"/>
      <c r="F293" s="92"/>
      <c r="G293" s="224"/>
      <c r="H293" s="201"/>
      <c r="I293" s="201">
        <f>-I271</f>
        <v>-5287.9375</v>
      </c>
      <c r="J293" s="201">
        <f>-J271</f>
        <v>-6024.1875</v>
      </c>
      <c r="K293" s="201">
        <f>-K271</f>
        <v>-6350.4375</v>
      </c>
      <c r="L293" s="201">
        <f>-L271</f>
        <v>-6687.9375</v>
      </c>
      <c r="M293" s="201">
        <f>-M271</f>
        <v>-7040.4375</v>
      </c>
    </row>
    <row r="294" spans="2:16" s="194" customFormat="1" ht="15" customHeight="1" outlineLevel="1">
      <c r="B294" s="72" t="s">
        <v>102</v>
      </c>
      <c r="C294" s="93"/>
      <c r="D294" s="92"/>
      <c r="E294" s="92"/>
      <c r="F294" s="249"/>
      <c r="G294" s="224"/>
      <c r="H294" s="229">
        <f>H87</f>
        <v>75407</v>
      </c>
      <c r="I294" s="200">
        <f>SUM(I291:I293)</f>
        <v>93119.0625</v>
      </c>
      <c r="J294" s="200">
        <f>SUM(J291:J293)</f>
        <v>93544.875</v>
      </c>
      <c r="K294" s="200">
        <f>SUM(K291:K293)</f>
        <v>93794.4375</v>
      </c>
      <c r="L294" s="200">
        <f>SUM(L291:L293)</f>
        <v>94006.5</v>
      </c>
      <c r="M294" s="200">
        <f>SUM(M291:M293)</f>
        <v>94166.0625</v>
      </c>
      <c r="P294" s="57"/>
    </row>
    <row r="295" spans="2:16" s="194" customFormat="1" ht="15" customHeight="1" outlineLevel="1">
      <c r="B295" s="94"/>
      <c r="C295" s="93"/>
      <c r="D295" s="92"/>
      <c r="E295" s="92"/>
      <c r="F295" s="92"/>
      <c r="G295" s="92"/>
      <c r="H295" s="215"/>
      <c r="I295" s="215"/>
      <c r="J295" s="215"/>
      <c r="K295" s="215"/>
      <c r="L295" s="215"/>
      <c r="M295" s="215"/>
      <c r="N295" s="203"/>
      <c r="O295" s="203"/>
      <c r="P295" s="57"/>
    </row>
    <row r="296" spans="2:16" s="194" customFormat="1" ht="15" customHeight="1" outlineLevel="1">
      <c r="B296" s="94"/>
      <c r="C296" s="93"/>
      <c r="D296" s="92"/>
      <c r="E296" s="92"/>
      <c r="F296" s="92"/>
      <c r="G296" s="92"/>
      <c r="H296" s="215"/>
      <c r="I296" s="215"/>
      <c r="J296" s="215"/>
      <c r="K296" s="215"/>
      <c r="L296" s="215"/>
      <c r="M296" s="215"/>
      <c r="N296" s="203"/>
      <c r="O296" s="203"/>
      <c r="P296" s="57"/>
    </row>
    <row r="297" spans="2:16" s="194" customFormat="1" ht="15" customHeight="1" outlineLevel="1">
      <c r="B297" s="231" t="s">
        <v>120</v>
      </c>
      <c r="C297" s="93"/>
      <c r="D297" s="92"/>
      <c r="E297" s="92"/>
      <c r="F297" s="92"/>
      <c r="G297" s="92"/>
      <c r="H297" s="215"/>
      <c r="I297" s="215"/>
      <c r="J297" s="215"/>
      <c r="K297" s="215"/>
      <c r="L297" s="215"/>
      <c r="M297" s="215"/>
      <c r="N297" s="203"/>
      <c r="O297" s="203"/>
      <c r="P297" s="248"/>
    </row>
    <row r="298" spans="2:16" s="194" customFormat="1" ht="15" customHeight="1" outlineLevel="1">
      <c r="B298" s="72" t="s">
        <v>105</v>
      </c>
      <c r="C298" s="93"/>
      <c r="D298" s="92"/>
      <c r="E298" s="92"/>
      <c r="F298" s="92"/>
      <c r="G298" s="224"/>
      <c r="H298" s="200"/>
      <c r="I298" s="200">
        <f>H301</f>
        <v>39211</v>
      </c>
      <c r="J298" s="200">
        <f>I301</f>
        <v>54604.35</v>
      </c>
      <c r="K298" s="200">
        <f>J301</f>
        <v>52379.947499999995</v>
      </c>
      <c r="L298" s="200">
        <f>K301</f>
        <v>50627.955374999998</v>
      </c>
      <c r="M298" s="200">
        <f>L301</f>
        <v>49416.262068750002</v>
      </c>
      <c r="N298" s="203"/>
      <c r="O298" s="203"/>
    </row>
    <row r="299" spans="2:16" s="194" customFormat="1" ht="15" customHeight="1" outlineLevel="1">
      <c r="B299" s="72" t="s">
        <v>64</v>
      </c>
      <c r="C299" s="93"/>
      <c r="D299" s="92"/>
      <c r="E299" s="92"/>
      <c r="F299" s="92"/>
      <c r="G299" s="224"/>
      <c r="H299" s="200"/>
      <c r="I299" s="200">
        <f>I292</f>
        <v>23000</v>
      </c>
      <c r="J299" s="200">
        <f>J292</f>
        <v>6450</v>
      </c>
      <c r="K299" s="200">
        <f>K292</f>
        <v>6600</v>
      </c>
      <c r="L299" s="200">
        <f>L292</f>
        <v>6900</v>
      </c>
      <c r="M299" s="200">
        <f>M292</f>
        <v>7200</v>
      </c>
      <c r="N299" s="203"/>
      <c r="O299" s="203"/>
    </row>
    <row r="300" spans="2:16" s="194" customFormat="1" ht="15" customHeight="1" outlineLevel="1">
      <c r="B300" s="72" t="s">
        <v>119</v>
      </c>
      <c r="H300" s="247"/>
      <c r="I300" s="201">
        <f>-(I298+I299*$D$286)*$D$287</f>
        <v>-7606.65</v>
      </c>
      <c r="J300" s="201">
        <f>-(J298+J299*$D$286)*$D$287</f>
        <v>-8674.4025000000001</v>
      </c>
      <c r="K300" s="201">
        <f>-(K298+K299*$D$286)*$D$287</f>
        <v>-8351.9921249999989</v>
      </c>
      <c r="L300" s="201">
        <f>-(L298+L299*$D$286)*$D$287</f>
        <v>-8111.6933062499993</v>
      </c>
      <c r="M300" s="201">
        <f>-(M298+M299*$D$286)*$D$287</f>
        <v>-7952.4393103125003</v>
      </c>
      <c r="P300" s="209"/>
    </row>
    <row r="301" spans="2:16" s="194" customFormat="1" ht="15" customHeight="1" outlineLevel="1">
      <c r="B301" s="72" t="s">
        <v>102</v>
      </c>
      <c r="C301" s="93"/>
      <c r="D301" s="92"/>
      <c r="E301" s="92"/>
      <c r="F301" s="246"/>
      <c r="G301" s="224"/>
      <c r="H301" s="229">
        <f>Inputs!$L$55</f>
        <v>39211</v>
      </c>
      <c r="I301" s="200">
        <f>SUM(I298:I300)</f>
        <v>54604.35</v>
      </c>
      <c r="J301" s="200">
        <f>SUM(J298:J300)</f>
        <v>52379.947499999995</v>
      </c>
      <c r="K301" s="200">
        <f>SUM(K298:K300)</f>
        <v>50627.955374999998</v>
      </c>
      <c r="L301" s="200">
        <f>SUM(L298:L300)</f>
        <v>49416.262068750002</v>
      </c>
      <c r="M301" s="200">
        <f>SUM(M298:M300)</f>
        <v>48663.822758437498</v>
      </c>
      <c r="P301" s="57"/>
    </row>
    <row r="302" spans="2:16" s="194" customFormat="1" ht="15" customHeight="1" outlineLevel="1">
      <c r="B302" s="94"/>
      <c r="C302" s="93"/>
      <c r="D302" s="92"/>
      <c r="E302" s="92"/>
      <c r="F302" s="92"/>
      <c r="G302" s="92"/>
      <c r="H302" s="92"/>
      <c r="I302" s="203"/>
      <c r="J302" s="203"/>
      <c r="K302" s="203"/>
      <c r="L302" s="203"/>
      <c r="M302" s="203"/>
      <c r="P302" s="57"/>
    </row>
    <row r="303" spans="2:16" s="194" customFormat="1" ht="15" customHeight="1" outlineLevel="1">
      <c r="B303" s="94"/>
      <c r="C303" s="93"/>
      <c r="D303" s="92"/>
      <c r="E303" s="92"/>
      <c r="F303" s="92"/>
      <c r="G303" s="92"/>
      <c r="H303" s="92"/>
      <c r="I303" s="203"/>
      <c r="J303" s="203"/>
      <c r="K303" s="203"/>
      <c r="L303" s="203"/>
      <c r="M303" s="203"/>
      <c r="N303" s="195"/>
      <c r="O303" s="195"/>
      <c r="P303" s="57"/>
    </row>
    <row r="304" spans="2:16" s="194" customFormat="1" ht="15" customHeight="1" outlineLevel="1">
      <c r="B304" s="94"/>
      <c r="C304" s="93"/>
      <c r="D304" s="92"/>
      <c r="E304" s="92"/>
      <c r="F304" s="92"/>
      <c r="G304" s="92"/>
      <c r="H304" s="92"/>
      <c r="I304" s="203"/>
      <c r="J304" s="203"/>
      <c r="K304" s="203"/>
      <c r="L304" s="203"/>
      <c r="M304" s="219" t="s">
        <v>118</v>
      </c>
      <c r="N304" s="44"/>
      <c r="O304" s="44"/>
      <c r="P304" s="57"/>
    </row>
    <row r="305" spans="1:16" s="194" customFormat="1" ht="15" customHeight="1" outlineLevel="1">
      <c r="B305" s="94"/>
      <c r="C305" s="93"/>
      <c r="D305" s="92"/>
      <c r="E305" s="92"/>
      <c r="F305" s="92"/>
      <c r="G305" s="92"/>
      <c r="H305" s="92"/>
      <c r="I305" s="203"/>
      <c r="J305" s="203"/>
      <c r="K305" s="203"/>
      <c r="L305" s="203"/>
      <c r="M305" s="245"/>
      <c r="N305" s="44"/>
      <c r="O305" s="44"/>
      <c r="P305" s="57"/>
    </row>
    <row r="306" spans="1:16" s="194" customFormat="1" ht="15" customHeight="1" outlineLevel="1">
      <c r="B306" s="199"/>
      <c r="C306" s="198"/>
      <c r="D306" s="197"/>
      <c r="E306" s="197"/>
      <c r="F306" s="197"/>
      <c r="G306" s="197"/>
      <c r="H306" s="197"/>
      <c r="I306" s="196"/>
      <c r="J306" s="196"/>
      <c r="K306" s="196"/>
      <c r="L306" s="196"/>
      <c r="M306" s="196"/>
      <c r="N306" s="207"/>
      <c r="O306" s="207"/>
      <c r="P306" s="57"/>
    </row>
    <row r="307" spans="1:16" s="194" customFormat="1" ht="15" customHeight="1">
      <c r="B307" s="94"/>
      <c r="C307" s="93"/>
      <c r="D307" s="92"/>
      <c r="E307" s="92"/>
      <c r="F307" s="92"/>
      <c r="G307" s="92"/>
      <c r="H307" s="92"/>
      <c r="I307" s="203"/>
      <c r="J307" s="203"/>
      <c r="K307" s="203"/>
      <c r="L307" s="203"/>
      <c r="M307" s="203"/>
      <c r="N307" s="207"/>
      <c r="O307" s="207"/>
      <c r="P307" s="57"/>
    </row>
    <row r="308" spans="1:16" s="194" customFormat="1" ht="15" customHeight="1">
      <c r="A308" s="194" t="s">
        <v>0</v>
      </c>
      <c r="B308" s="98" t="s">
        <v>117</v>
      </c>
      <c r="C308" s="97"/>
      <c r="D308" s="212"/>
      <c r="E308" s="212"/>
      <c r="F308" s="95"/>
      <c r="G308" s="95"/>
      <c r="H308" s="95"/>
      <c r="I308" s="211"/>
      <c r="J308" s="210"/>
      <c r="K308" s="210"/>
      <c r="L308" s="210"/>
      <c r="M308" s="210"/>
      <c r="N308" s="207"/>
      <c r="O308" s="207"/>
      <c r="P308" s="209"/>
    </row>
    <row r="309" spans="1:16" s="194" customFormat="1" ht="15" customHeight="1" outlineLevel="1">
      <c r="B309" s="192"/>
      <c r="C309" s="93"/>
      <c r="D309" s="191"/>
      <c r="E309" s="191"/>
      <c r="F309" s="190"/>
      <c r="G309" s="190"/>
      <c r="H309" s="190"/>
      <c r="I309" s="190"/>
      <c r="J309" s="190"/>
      <c r="K309" s="190"/>
      <c r="L309" s="190"/>
      <c r="M309" s="190"/>
      <c r="N309" s="207"/>
      <c r="O309" s="207"/>
    </row>
    <row r="310" spans="1:16" s="194" customFormat="1" ht="15" customHeight="1" outlineLevel="1" thickBot="1">
      <c r="B310" s="94" t="s">
        <v>28</v>
      </c>
      <c r="C310" s="93"/>
      <c r="D310" s="92"/>
      <c r="E310" s="92"/>
      <c r="F310" s="92"/>
      <c r="G310" s="92"/>
      <c r="H310" s="208">
        <f t="shared" ref="H310:M310" si="46">H$5</f>
        <v>2022</v>
      </c>
      <c r="I310" s="150">
        <f t="shared" si="46"/>
        <v>2023</v>
      </c>
      <c r="J310" s="150">
        <f t="shared" si="46"/>
        <v>2024</v>
      </c>
      <c r="K310" s="150">
        <f t="shared" si="46"/>
        <v>2025</v>
      </c>
      <c r="L310" s="150">
        <f t="shared" si="46"/>
        <v>2026</v>
      </c>
      <c r="M310" s="150">
        <f t="shared" si="46"/>
        <v>2027</v>
      </c>
      <c r="N310" s="207"/>
      <c r="O310" s="207"/>
      <c r="P310" s="44"/>
    </row>
    <row r="311" spans="1:16" ht="15" customHeight="1" outlineLevel="1">
      <c r="A311" s="60"/>
      <c r="B311" s="94" t="str">
        <f>B$6</f>
        <v>Model Running: Best Case Drivers</v>
      </c>
      <c r="C311" s="93"/>
      <c r="D311" s="92"/>
      <c r="E311" s="92"/>
      <c r="F311" s="92"/>
      <c r="G311" s="92"/>
      <c r="H311" s="92"/>
      <c r="I311" s="203"/>
      <c r="J311" s="203"/>
      <c r="K311" s="203"/>
      <c r="L311" s="203"/>
      <c r="M311" s="203"/>
      <c r="P311" s="44"/>
    </row>
    <row r="312" spans="1:16" s="194" customFormat="1" ht="15" customHeight="1" outlineLevel="1">
      <c r="B312" s="94"/>
      <c r="C312" s="93"/>
      <c r="D312" s="92"/>
      <c r="E312" s="92"/>
      <c r="F312" s="92"/>
      <c r="G312" s="92"/>
      <c r="H312" s="92"/>
      <c r="I312" s="203"/>
      <c r="J312" s="203"/>
      <c r="K312" s="203"/>
      <c r="L312" s="203"/>
      <c r="M312" s="203"/>
      <c r="N312" s="195"/>
      <c r="O312" s="195"/>
    </row>
    <row r="313" spans="1:16" s="194" customFormat="1" ht="15" customHeight="1" outlineLevel="1">
      <c r="B313" s="64" t="s">
        <v>116</v>
      </c>
      <c r="C313" s="93"/>
      <c r="D313" s="92"/>
      <c r="E313" s="92"/>
      <c r="G313" s="224"/>
      <c r="H313" s="200"/>
      <c r="I313" s="244">
        <f>I27</f>
        <v>15715.741564425003</v>
      </c>
      <c r="J313" s="243">
        <f>J27</f>
        <v>16035.137340580248</v>
      </c>
      <c r="K313" s="243">
        <f>K27</f>
        <v>17338.361048930874</v>
      </c>
      <c r="L313" s="243">
        <f>L27</f>
        <v>18456.279705860637</v>
      </c>
      <c r="M313" s="242">
        <f>M27</f>
        <v>19263.242929207991</v>
      </c>
      <c r="N313" s="44"/>
      <c r="O313" s="44"/>
    </row>
    <row r="314" spans="1:16" s="194" customFormat="1" ht="15" customHeight="1" outlineLevel="1">
      <c r="B314" s="64" t="s">
        <v>115</v>
      </c>
      <c r="C314" s="93"/>
      <c r="D314" s="92"/>
      <c r="E314" s="92"/>
      <c r="F314" s="92"/>
      <c r="G314" s="92"/>
      <c r="H314" s="92"/>
      <c r="I314" s="241">
        <f>IF(I324&gt;0,1,0)</f>
        <v>1</v>
      </c>
      <c r="J314" s="240">
        <f>IF(J324&gt;0,1,0)</f>
        <v>1</v>
      </c>
      <c r="K314" s="240">
        <f>IF(K324&gt;0,1,0)</f>
        <v>1</v>
      </c>
      <c r="L314" s="240">
        <f>IF(L324&gt;0,1,0)</f>
        <v>1</v>
      </c>
      <c r="M314" s="239">
        <f>IF(M324&gt;0,1,0)</f>
        <v>1</v>
      </c>
      <c r="N314" s="44"/>
      <c r="O314" s="44"/>
    </row>
    <row r="315" spans="1:16" s="194" customFormat="1" ht="15" customHeight="1" outlineLevel="1">
      <c r="B315" s="94"/>
      <c r="C315" s="93"/>
      <c r="D315" s="92"/>
      <c r="E315" s="92"/>
      <c r="F315" s="92"/>
      <c r="G315" s="92"/>
      <c r="H315" s="92"/>
      <c r="I315" s="203"/>
      <c r="J315" s="203"/>
      <c r="K315" s="203"/>
      <c r="L315" s="203"/>
      <c r="M315" s="203"/>
      <c r="N315" s="44"/>
      <c r="O315" s="44"/>
    </row>
    <row r="316" spans="1:16" s="194" customFormat="1" ht="15" customHeight="1" outlineLevel="1">
      <c r="B316" s="238" t="s">
        <v>48</v>
      </c>
      <c r="C316" s="237"/>
      <c r="D316" s="236">
        <f>Inputs!L52</f>
        <v>0.3</v>
      </c>
      <c r="E316" s="92"/>
      <c r="F316" s="92"/>
      <c r="G316" s="92"/>
      <c r="H316" s="92"/>
      <c r="I316" s="203"/>
      <c r="J316" s="203"/>
      <c r="K316" s="203"/>
      <c r="L316" s="203"/>
      <c r="M316" s="203"/>
      <c r="N316" s="44"/>
      <c r="O316" s="44"/>
      <c r="P316" s="166"/>
    </row>
    <row r="317" spans="1:16" ht="15" customHeight="1" outlineLevel="1">
      <c r="A317" s="194"/>
      <c r="B317" s="235" t="s">
        <v>9</v>
      </c>
      <c r="C317" s="198"/>
      <c r="D317" s="234">
        <f>IF(M335=0,0,1)</f>
        <v>0</v>
      </c>
      <c r="E317" s="92"/>
      <c r="F317" s="200"/>
      <c r="G317" s="233"/>
      <c r="H317" s="200"/>
      <c r="I317" s="200"/>
      <c r="J317" s="200"/>
      <c r="K317" s="200"/>
      <c r="L317" s="200"/>
      <c r="N317" s="44"/>
      <c r="O317" s="44"/>
    </row>
    <row r="318" spans="1:16" s="194" customFormat="1" ht="15" customHeight="1" outlineLevel="1">
      <c r="B318" s="94"/>
      <c r="C318" s="93"/>
      <c r="D318" s="232"/>
      <c r="E318" s="92"/>
      <c r="F318" s="92"/>
      <c r="G318" s="92"/>
      <c r="H318" s="92"/>
      <c r="I318" s="203"/>
      <c r="J318" s="203"/>
      <c r="K318" s="203"/>
      <c r="L318" s="203"/>
      <c r="M318" s="203"/>
    </row>
    <row r="319" spans="1:16" s="194" customFormat="1" ht="15" customHeight="1" outlineLevel="1">
      <c r="B319" s="94"/>
      <c r="C319" s="93"/>
      <c r="D319" s="232"/>
      <c r="E319" s="92"/>
      <c r="F319" s="92"/>
      <c r="G319" s="92"/>
      <c r="H319" s="92"/>
      <c r="I319" s="203"/>
      <c r="J319" s="203"/>
      <c r="K319" s="203"/>
      <c r="L319" s="203"/>
      <c r="M319" s="203"/>
    </row>
    <row r="320" spans="1:16" s="194" customFormat="1" ht="15" customHeight="1" outlineLevel="1">
      <c r="B320" s="204" t="s">
        <v>114</v>
      </c>
      <c r="C320" s="93"/>
      <c r="D320" s="92"/>
      <c r="E320" s="92"/>
      <c r="F320" s="92"/>
      <c r="G320" s="92"/>
      <c r="H320" s="92"/>
      <c r="I320" s="203"/>
      <c r="J320" s="203"/>
      <c r="K320" s="203"/>
      <c r="L320" s="203"/>
      <c r="M320" s="203"/>
      <c r="N320" s="195"/>
      <c r="O320" s="195"/>
    </row>
    <row r="321" spans="2:16" s="194" customFormat="1" ht="15" customHeight="1" outlineLevel="1">
      <c r="B321" s="72" t="s">
        <v>113</v>
      </c>
      <c r="C321" s="93"/>
      <c r="D321" s="92"/>
      <c r="E321" s="92"/>
      <c r="F321" s="92"/>
      <c r="G321" s="92"/>
      <c r="H321" s="200"/>
      <c r="I321" s="200">
        <f>I313</f>
        <v>15715.741564425003</v>
      </c>
      <c r="J321" s="200">
        <f>J313</f>
        <v>16035.137340580248</v>
      </c>
      <c r="K321" s="200">
        <f>K313</f>
        <v>17338.361048930874</v>
      </c>
      <c r="L321" s="200">
        <f>L313</f>
        <v>18456.279705860637</v>
      </c>
      <c r="M321" s="200">
        <f>M313</f>
        <v>19263.242929207991</v>
      </c>
      <c r="N321" s="195"/>
      <c r="O321" s="195"/>
      <c r="P321" s="57"/>
    </row>
    <row r="322" spans="2:16" s="194" customFormat="1" ht="15" customHeight="1" outlineLevel="1">
      <c r="B322" s="72" t="s">
        <v>112</v>
      </c>
      <c r="C322" s="93"/>
      <c r="D322" s="92"/>
      <c r="E322" s="92"/>
      <c r="F322" s="92"/>
      <c r="G322" s="92"/>
      <c r="H322" s="215"/>
      <c r="I322" s="200">
        <f>-I$293</f>
        <v>5287.9375</v>
      </c>
      <c r="J322" s="200">
        <f>-J$293</f>
        <v>6024.1875</v>
      </c>
      <c r="K322" s="200">
        <f>-K$293</f>
        <v>6350.4375</v>
      </c>
      <c r="L322" s="200">
        <f>-L$293</f>
        <v>6687.9375</v>
      </c>
      <c r="M322" s="200">
        <f>-M$293</f>
        <v>7040.4375</v>
      </c>
      <c r="N322" s="44"/>
      <c r="O322" s="44"/>
      <c r="P322" s="57"/>
    </row>
    <row r="323" spans="2:16" s="194" customFormat="1" ht="15" customHeight="1" outlineLevel="1">
      <c r="B323" s="72" t="s">
        <v>111</v>
      </c>
      <c r="C323" s="93"/>
      <c r="D323" s="92"/>
      <c r="E323" s="92"/>
      <c r="F323" s="92"/>
      <c r="G323" s="92"/>
      <c r="H323" s="215"/>
      <c r="I323" s="201">
        <f>I$300</f>
        <v>-7606.65</v>
      </c>
      <c r="J323" s="201">
        <f>J$300</f>
        <v>-8674.4025000000001</v>
      </c>
      <c r="K323" s="201">
        <f>K$300</f>
        <v>-8351.9921249999989</v>
      </c>
      <c r="L323" s="201">
        <f>L$300</f>
        <v>-8111.6933062499993</v>
      </c>
      <c r="M323" s="201">
        <f>M$300</f>
        <v>-7952.4393103125003</v>
      </c>
      <c r="N323" s="44"/>
      <c r="O323" s="44"/>
      <c r="P323" s="115"/>
    </row>
    <row r="324" spans="2:16" s="194" customFormat="1" ht="15" customHeight="1" outlineLevel="1">
      <c r="B324" s="72" t="s">
        <v>109</v>
      </c>
      <c r="C324" s="93"/>
      <c r="D324" s="92"/>
      <c r="E324" s="92"/>
      <c r="F324" s="92"/>
      <c r="G324" s="92"/>
      <c r="H324" s="200"/>
      <c r="I324" s="200">
        <f>SUM(I321:I323)</f>
        <v>13397.029064425004</v>
      </c>
      <c r="J324" s="200">
        <f>SUM(J321:J323)</f>
        <v>13384.922340580248</v>
      </c>
      <c r="K324" s="200">
        <f>SUM(K321:K323)</f>
        <v>15336.806423930875</v>
      </c>
      <c r="L324" s="200">
        <f>SUM(L321:L323)</f>
        <v>17032.523899610638</v>
      </c>
      <c r="M324" s="200">
        <f>SUM(M321:M323)</f>
        <v>18351.24111889549</v>
      </c>
      <c r="N324" s="195"/>
      <c r="O324" s="195"/>
      <c r="P324" s="57"/>
    </row>
    <row r="325" spans="2:16" s="194" customFormat="1" ht="15" customHeight="1" outlineLevel="1">
      <c r="B325" s="94"/>
      <c r="C325" s="93"/>
      <c r="D325" s="92"/>
      <c r="E325" s="92"/>
      <c r="F325" s="92"/>
      <c r="G325" s="92"/>
      <c r="H325" s="215"/>
      <c r="I325" s="200"/>
      <c r="J325" s="200"/>
      <c r="K325" s="200"/>
      <c r="L325" s="200"/>
      <c r="M325" s="200"/>
      <c r="N325" s="44"/>
      <c r="O325" s="44"/>
      <c r="P325" s="57"/>
    </row>
    <row r="326" spans="2:16" s="194" customFormat="1" ht="15" customHeight="1" outlineLevel="1">
      <c r="B326" s="231" t="s">
        <v>110</v>
      </c>
      <c r="C326" s="93"/>
      <c r="D326" s="92"/>
      <c r="E326" s="92"/>
      <c r="F326" s="92"/>
      <c r="G326" s="92"/>
      <c r="H326" s="215"/>
      <c r="I326" s="200"/>
      <c r="J326" s="200"/>
      <c r="K326" s="200"/>
      <c r="L326" s="200"/>
      <c r="M326" s="200"/>
      <c r="N326" s="44"/>
      <c r="O326" s="44"/>
    </row>
    <row r="327" spans="2:16" s="194" customFormat="1" ht="15" customHeight="1" outlineLevel="1">
      <c r="B327" s="72" t="s">
        <v>109</v>
      </c>
      <c r="C327" s="93"/>
      <c r="D327" s="92"/>
      <c r="E327" s="92"/>
      <c r="F327" s="92"/>
      <c r="G327" s="92"/>
      <c r="H327" s="200"/>
      <c r="I327" s="200">
        <f>I324</f>
        <v>13397.029064425004</v>
      </c>
      <c r="J327" s="200">
        <f>J324</f>
        <v>13384.922340580248</v>
      </c>
      <c r="K327" s="200">
        <f>K324</f>
        <v>15336.806423930875</v>
      </c>
      <c r="L327" s="200">
        <f>L324</f>
        <v>17032.523899610638</v>
      </c>
      <c r="M327" s="200">
        <f>M324</f>
        <v>18351.24111889549</v>
      </c>
      <c r="N327" s="44"/>
      <c r="O327" s="44"/>
    </row>
    <row r="328" spans="2:16" s="194" customFormat="1" ht="15" customHeight="1" outlineLevel="1">
      <c r="B328" s="230" t="s">
        <v>108</v>
      </c>
      <c r="C328" s="93"/>
      <c r="D328" s="92"/>
      <c r="E328" s="92"/>
      <c r="F328" s="92"/>
      <c r="G328" s="92"/>
      <c r="H328" s="215"/>
      <c r="I328" s="201">
        <f>I334</f>
        <v>-2657</v>
      </c>
      <c r="J328" s="201">
        <f>J334</f>
        <v>0</v>
      </c>
      <c r="K328" s="201">
        <f>K334</f>
        <v>0</v>
      </c>
      <c r="L328" s="201">
        <f>L334</f>
        <v>0</v>
      </c>
      <c r="M328" s="201">
        <f>M334</f>
        <v>0</v>
      </c>
      <c r="N328" s="44"/>
      <c r="O328" s="44"/>
    </row>
    <row r="329" spans="2:16" s="194" customFormat="1" ht="15" customHeight="1" outlineLevel="1">
      <c r="B329" s="72" t="s">
        <v>107</v>
      </c>
      <c r="C329" s="93"/>
      <c r="D329" s="92"/>
      <c r="E329" s="92"/>
      <c r="F329" s="92"/>
      <c r="G329" s="92"/>
      <c r="H329" s="215"/>
      <c r="I329" s="200">
        <f xml:space="preserve"> MAX(SUM(I327:I328),0)</f>
        <v>10740.029064425004</v>
      </c>
      <c r="J329" s="200">
        <f xml:space="preserve"> MAX(SUM(J327:J328),0)</f>
        <v>13384.922340580248</v>
      </c>
      <c r="K329" s="200">
        <f xml:space="preserve"> MAX(SUM(K327:K328),0)</f>
        <v>15336.806423930875</v>
      </c>
      <c r="L329" s="200">
        <f xml:space="preserve"> MAX(SUM(L327:L328),0)</f>
        <v>17032.523899610638</v>
      </c>
      <c r="M329" s="200">
        <f xml:space="preserve"> MAX(SUM(M327:M328),0)</f>
        <v>18351.24111889549</v>
      </c>
      <c r="N329" s="195"/>
      <c r="O329" s="195"/>
    </row>
    <row r="330" spans="2:16" s="194" customFormat="1" ht="15" customHeight="1" outlineLevel="1">
      <c r="B330" s="94"/>
      <c r="C330" s="93"/>
      <c r="D330" s="92"/>
      <c r="E330" s="92"/>
      <c r="F330" s="92"/>
      <c r="G330" s="92"/>
      <c r="H330" s="215"/>
      <c r="I330" s="215"/>
      <c r="J330" s="215"/>
      <c r="K330" s="215"/>
      <c r="L330" s="215"/>
      <c r="M330" s="215"/>
      <c r="N330" s="195"/>
      <c r="O330" s="195"/>
    </row>
    <row r="331" spans="2:16" s="194" customFormat="1" ht="15" customHeight="1" outlineLevel="1">
      <c r="B331" s="231" t="s">
        <v>106</v>
      </c>
      <c r="C331" s="93"/>
      <c r="D331" s="92"/>
      <c r="E331" s="92"/>
      <c r="F331" s="92"/>
      <c r="G331" s="92"/>
      <c r="H331" s="215"/>
      <c r="I331" s="215"/>
      <c r="J331" s="215"/>
      <c r="K331" s="215"/>
      <c r="L331" s="215"/>
      <c r="M331" s="215"/>
      <c r="N331" s="195"/>
      <c r="O331" s="195"/>
    </row>
    <row r="332" spans="2:16" s="194" customFormat="1" ht="15" customHeight="1" outlineLevel="1">
      <c r="B332" s="72" t="s">
        <v>105</v>
      </c>
      <c r="C332" s="93"/>
      <c r="D332" s="92"/>
      <c r="E332" s="92"/>
      <c r="F332" s="92"/>
      <c r="G332" s="92"/>
      <c r="H332" s="215"/>
      <c r="I332" s="200">
        <f>H335</f>
        <v>2657</v>
      </c>
      <c r="J332" s="200">
        <f>I335</f>
        <v>0</v>
      </c>
      <c r="K332" s="200">
        <f>J335</f>
        <v>0</v>
      </c>
      <c r="L332" s="200">
        <f>K335</f>
        <v>0</v>
      </c>
      <c r="M332" s="200">
        <f>L335</f>
        <v>0</v>
      </c>
      <c r="N332" s="195"/>
      <c r="O332" s="195"/>
    </row>
    <row r="333" spans="2:16" s="194" customFormat="1" ht="15" customHeight="1" outlineLevel="1">
      <c r="B333" s="72" t="s">
        <v>104</v>
      </c>
      <c r="C333" s="93"/>
      <c r="D333" s="92"/>
      <c r="E333" s="92"/>
      <c r="F333" s="92"/>
      <c r="G333" s="92"/>
      <c r="H333" s="215"/>
      <c r="I333" s="200">
        <f>-MIN(I321,0)</f>
        <v>0</v>
      </c>
      <c r="J333" s="200">
        <f>-MIN(J321,0)</f>
        <v>0</v>
      </c>
      <c r="K333" s="200">
        <f>-MIN(K321,0)</f>
        <v>0</v>
      </c>
      <c r="L333" s="200">
        <f>-MIN(L321,0)</f>
        <v>0</v>
      </c>
      <c r="M333" s="200">
        <f>-MIN(M321,0)</f>
        <v>0</v>
      </c>
      <c r="N333" s="195"/>
      <c r="O333" s="195"/>
      <c r="P333" s="57"/>
    </row>
    <row r="334" spans="2:16" s="194" customFormat="1" ht="15" customHeight="1" outlineLevel="1">
      <c r="B334" s="230" t="s">
        <v>103</v>
      </c>
      <c r="C334" s="93"/>
      <c r="D334" s="92"/>
      <c r="E334" s="92"/>
      <c r="F334" s="92"/>
      <c r="G334" s="92"/>
      <c r="H334" s="202"/>
      <c r="I334" s="201">
        <f>-MIN(I332,I327)*I314</f>
        <v>-2657</v>
      </c>
      <c r="J334" s="201">
        <f>-MIN(J332,J327)*J314</f>
        <v>0</v>
      </c>
      <c r="K334" s="201">
        <f>-MIN(K332,K327)*K314</f>
        <v>0</v>
      </c>
      <c r="L334" s="201">
        <f>-MIN(L332,L327)*L314</f>
        <v>0</v>
      </c>
      <c r="M334" s="201">
        <f>-MIN(M332,M327)*M314</f>
        <v>0</v>
      </c>
      <c r="N334" s="195"/>
      <c r="O334" s="195"/>
      <c r="P334" s="57"/>
    </row>
    <row r="335" spans="2:16" s="194" customFormat="1" ht="15" customHeight="1" outlineLevel="1">
      <c r="B335" s="72" t="s">
        <v>102</v>
      </c>
      <c r="C335" s="93"/>
      <c r="D335" s="92"/>
      <c r="E335" s="92"/>
      <c r="F335" s="92"/>
      <c r="G335" s="92"/>
      <c r="H335" s="229">
        <f>Inputs!$L$56</f>
        <v>2657</v>
      </c>
      <c r="I335" s="200">
        <f>SUM(I332:I334)</f>
        <v>0</v>
      </c>
      <c r="J335" s="200">
        <f>SUM(J332:J334)</f>
        <v>0</v>
      </c>
      <c r="K335" s="200">
        <f>SUM(K332:K334)</f>
        <v>0</v>
      </c>
      <c r="L335" s="200">
        <f>SUM(L332:L334)</f>
        <v>0</v>
      </c>
      <c r="M335" s="200">
        <f>SUM(M332:M334)</f>
        <v>0</v>
      </c>
      <c r="N335" s="44"/>
      <c r="O335" s="44"/>
      <c r="P335" s="57"/>
    </row>
    <row r="336" spans="2:16" s="194" customFormat="1" ht="15" customHeight="1" outlineLevel="1">
      <c r="B336" s="94"/>
      <c r="C336" s="93"/>
      <c r="D336" s="92"/>
      <c r="E336" s="92"/>
      <c r="F336" s="92"/>
      <c r="G336" s="92"/>
      <c r="H336" s="215"/>
      <c r="I336" s="215"/>
      <c r="J336" s="215"/>
      <c r="K336" s="215"/>
      <c r="L336" s="215"/>
      <c r="M336" s="215"/>
      <c r="N336" s="195"/>
      <c r="O336" s="195"/>
    </row>
    <row r="337" spans="1:16" s="194" customFormat="1" ht="15" customHeight="1" outlineLevel="1">
      <c r="B337" s="228"/>
      <c r="C337" s="227"/>
      <c r="D337" s="226"/>
      <c r="E337" s="226"/>
      <c r="F337" s="226"/>
      <c r="G337" s="226"/>
      <c r="H337" s="225"/>
      <c r="I337" s="225"/>
      <c r="J337" s="225"/>
      <c r="K337" s="225"/>
      <c r="L337" s="225"/>
      <c r="M337" s="225"/>
      <c r="N337" s="195"/>
      <c r="O337" s="195"/>
    </row>
    <row r="338" spans="1:16" s="194" customFormat="1" ht="15" customHeight="1" outlineLevel="1">
      <c r="B338" s="94"/>
      <c r="C338" s="93"/>
      <c r="D338" s="92"/>
      <c r="E338" s="92"/>
      <c r="F338" s="92"/>
      <c r="G338" s="92"/>
      <c r="H338" s="215"/>
      <c r="I338" s="215"/>
      <c r="J338" s="215"/>
      <c r="K338" s="215"/>
      <c r="L338" s="215"/>
      <c r="M338" s="215"/>
      <c r="N338" s="195"/>
      <c r="O338" s="195"/>
    </row>
    <row r="339" spans="1:16" s="194" customFormat="1" ht="15" customHeight="1" outlineLevel="1">
      <c r="B339" s="204" t="s">
        <v>101</v>
      </c>
      <c r="C339" s="93"/>
      <c r="D339" s="92"/>
      <c r="E339" s="92"/>
      <c r="F339" s="92"/>
      <c r="G339" s="92"/>
      <c r="H339" s="215"/>
      <c r="I339" s="215"/>
      <c r="J339" s="215"/>
      <c r="K339" s="215"/>
      <c r="L339" s="215"/>
      <c r="M339" s="215"/>
      <c r="N339" s="195"/>
      <c r="O339" s="195"/>
    </row>
    <row r="340" spans="1:16" s="194" customFormat="1" ht="15" customHeight="1" outlineLevel="1">
      <c r="B340" s="72" t="s">
        <v>100</v>
      </c>
      <c r="C340" s="93"/>
      <c r="D340" s="92"/>
      <c r="E340" s="92"/>
      <c r="F340" s="224"/>
      <c r="G340" s="224"/>
      <c r="H340" s="200"/>
      <c r="I340" s="200">
        <f>$D$316*I329</f>
        <v>3222.0087193275008</v>
      </c>
      <c r="J340" s="200">
        <f>$D$316*J329</f>
        <v>4015.476702174074</v>
      </c>
      <c r="K340" s="200">
        <f>$D$316*K329</f>
        <v>4601.0419271792625</v>
      </c>
      <c r="L340" s="200">
        <f>$D$316*L329</f>
        <v>5109.7571698831916</v>
      </c>
      <c r="M340" s="200">
        <f>$D$316*M329</f>
        <v>5505.3723356686469</v>
      </c>
    </row>
    <row r="341" spans="1:16" s="194" customFormat="1" ht="15" customHeight="1" outlineLevel="1">
      <c r="B341" s="72" t="s">
        <v>99</v>
      </c>
      <c r="C341" s="93"/>
      <c r="D341" s="92"/>
      <c r="E341" s="92"/>
      <c r="F341" s="92"/>
      <c r="G341" s="92"/>
      <c r="H341" s="215"/>
      <c r="I341" s="200">
        <f>I342-I340</f>
        <v>1492.7137500000003</v>
      </c>
      <c r="J341" s="200">
        <f>J342-J340</f>
        <v>795.06449999999995</v>
      </c>
      <c r="K341" s="200">
        <f>K342-K340</f>
        <v>600.46638749999966</v>
      </c>
      <c r="L341" s="200">
        <f>L342-L340</f>
        <v>427.12674187499942</v>
      </c>
      <c r="M341" s="200">
        <f>M342-M340</f>
        <v>273.60054309375028</v>
      </c>
    </row>
    <row r="342" spans="1:16" s="194" customFormat="1" ht="15" customHeight="1" outlineLevel="1" thickBot="1">
      <c r="B342" s="72" t="s">
        <v>98</v>
      </c>
      <c r="C342" s="93"/>
      <c r="D342" s="92"/>
      <c r="E342" s="92"/>
      <c r="F342" s="92"/>
      <c r="G342" s="92"/>
      <c r="H342" s="215"/>
      <c r="I342" s="223">
        <f>MAX($D$316*I321,0)</f>
        <v>4714.7224693275011</v>
      </c>
      <c r="J342" s="223">
        <f>MAX($D$316*J321,0)</f>
        <v>4810.541202174074</v>
      </c>
      <c r="K342" s="223">
        <f>MAX($D$316*K321,0)</f>
        <v>5201.5083146792622</v>
      </c>
      <c r="L342" s="223">
        <f>MAX($D$316*L321,0)</f>
        <v>5536.8839117581911</v>
      </c>
      <c r="M342" s="223">
        <f>MAX($D$316*M321,0)</f>
        <v>5778.9728787623972</v>
      </c>
    </row>
    <row r="343" spans="1:16" s="194" customFormat="1" ht="15" customHeight="1" outlineLevel="1">
      <c r="B343" s="94"/>
      <c r="C343" s="93"/>
      <c r="D343" s="92"/>
      <c r="E343" s="92"/>
      <c r="F343" s="92"/>
      <c r="G343" s="92"/>
      <c r="H343" s="92"/>
      <c r="I343" s="203"/>
      <c r="J343" s="203"/>
      <c r="K343" s="203"/>
      <c r="L343" s="203"/>
      <c r="M343" s="203"/>
      <c r="N343" s="44"/>
      <c r="O343" s="44"/>
    </row>
    <row r="344" spans="1:16" s="60" customFormat="1" ht="15" customHeight="1" outlineLevel="1">
      <c r="B344" s="74"/>
      <c r="C344" s="74"/>
      <c r="D344" s="61"/>
      <c r="E344" s="61"/>
      <c r="F344" s="195"/>
      <c r="G344" s="195"/>
      <c r="H344" s="195"/>
      <c r="I344" s="222"/>
      <c r="J344" s="222"/>
      <c r="K344" s="222"/>
      <c r="L344" s="222"/>
      <c r="M344" s="221"/>
      <c r="N344" s="220"/>
      <c r="O344" s="220"/>
      <c r="P344" s="44"/>
    </row>
    <row r="345" spans="1:16" s="194" customFormat="1" ht="15" customHeight="1" outlineLevel="1">
      <c r="C345" s="93"/>
      <c r="D345" s="92"/>
      <c r="E345" s="92"/>
      <c r="F345" s="92"/>
      <c r="G345" s="92"/>
      <c r="H345" s="92"/>
      <c r="I345" s="203"/>
      <c r="J345" s="203"/>
      <c r="K345" s="203"/>
      <c r="L345" s="203"/>
      <c r="M345" s="219" t="s">
        <v>97</v>
      </c>
      <c r="N345" s="44"/>
      <c r="O345" s="44"/>
      <c r="P345" s="166"/>
    </row>
    <row r="346" spans="1:16" s="194" customFormat="1" ht="15" customHeight="1" outlineLevel="1">
      <c r="C346" s="93"/>
      <c r="D346" s="92"/>
      <c r="E346" s="92"/>
      <c r="F346" s="92"/>
      <c r="G346" s="92"/>
      <c r="H346" s="92"/>
      <c r="I346" s="203"/>
      <c r="J346" s="203"/>
      <c r="K346" s="203"/>
      <c r="L346" s="203"/>
      <c r="M346" s="218" t="s">
        <v>96</v>
      </c>
      <c r="N346" s="44"/>
      <c r="O346" s="44"/>
      <c r="P346" s="166"/>
    </row>
    <row r="347" spans="1:16" s="194" customFormat="1" ht="15" customHeight="1" outlineLevel="1">
      <c r="C347" s="93"/>
      <c r="D347" s="92"/>
      <c r="E347" s="92"/>
      <c r="F347" s="92"/>
      <c r="G347" s="92"/>
      <c r="H347" s="92"/>
      <c r="I347" s="203"/>
      <c r="J347" s="203"/>
      <c r="K347" s="203"/>
      <c r="L347" s="203"/>
      <c r="M347" s="217"/>
      <c r="N347" s="44"/>
      <c r="O347" s="44"/>
    </row>
    <row r="348" spans="1:16" s="194" customFormat="1" ht="15" customHeight="1" outlineLevel="1">
      <c r="B348" s="199"/>
      <c r="C348" s="198"/>
      <c r="D348" s="197"/>
      <c r="E348" s="197"/>
      <c r="F348" s="197"/>
      <c r="G348" s="197"/>
      <c r="H348" s="197"/>
      <c r="I348" s="196"/>
      <c r="J348" s="196"/>
      <c r="K348" s="196"/>
      <c r="L348" s="196"/>
      <c r="M348" s="196"/>
      <c r="N348" s="195"/>
      <c r="O348" s="195"/>
    </row>
    <row r="349" spans="1:16" s="194" customFormat="1" ht="15" customHeight="1">
      <c r="B349" s="94"/>
      <c r="C349" s="93"/>
      <c r="D349" s="92"/>
      <c r="E349" s="92"/>
      <c r="F349" s="92"/>
      <c r="G349" s="92"/>
      <c r="H349" s="92"/>
      <c r="I349" s="203"/>
      <c r="J349" s="203"/>
      <c r="K349" s="203"/>
      <c r="L349" s="203"/>
      <c r="M349" s="203"/>
      <c r="N349" s="195"/>
      <c r="O349" s="195"/>
    </row>
    <row r="350" spans="1:16" s="194" customFormat="1" ht="15" customHeight="1">
      <c r="A350" s="194" t="s">
        <v>0</v>
      </c>
      <c r="B350" s="98" t="s">
        <v>95</v>
      </c>
      <c r="C350" s="97"/>
      <c r="D350" s="212"/>
      <c r="E350" s="212"/>
      <c r="F350" s="95"/>
      <c r="G350" s="95"/>
      <c r="H350" s="95"/>
      <c r="I350" s="211"/>
      <c r="J350" s="210"/>
      <c r="K350" s="210"/>
      <c r="L350" s="210"/>
      <c r="M350" s="210"/>
      <c r="N350" s="207"/>
      <c r="O350" s="207"/>
      <c r="P350" s="209"/>
    </row>
    <row r="351" spans="1:16" s="194" customFormat="1" ht="15" customHeight="1" outlineLevel="1">
      <c r="B351" s="192"/>
      <c r="C351" s="93"/>
      <c r="D351" s="191"/>
      <c r="E351" s="191"/>
      <c r="F351" s="190"/>
      <c r="G351" s="190"/>
      <c r="H351" s="190"/>
      <c r="I351" s="190"/>
      <c r="J351" s="190"/>
      <c r="K351" s="190"/>
      <c r="L351" s="190"/>
      <c r="M351" s="190"/>
      <c r="N351" s="207"/>
      <c r="O351" s="207"/>
    </row>
    <row r="352" spans="1:16" s="194" customFormat="1" ht="15" customHeight="1" outlineLevel="1" thickBot="1">
      <c r="B352" s="94" t="s">
        <v>28</v>
      </c>
      <c r="C352" s="93"/>
      <c r="D352" s="92"/>
      <c r="E352" s="92"/>
      <c r="F352" s="92"/>
      <c r="G352" s="92"/>
      <c r="H352" s="208">
        <f t="shared" ref="H352:M352" si="47">H$5</f>
        <v>2022</v>
      </c>
      <c r="I352" s="150">
        <f t="shared" si="47"/>
        <v>2023</v>
      </c>
      <c r="J352" s="150">
        <f t="shared" si="47"/>
        <v>2024</v>
      </c>
      <c r="K352" s="150">
        <f t="shared" si="47"/>
        <v>2025</v>
      </c>
      <c r="L352" s="150">
        <f t="shared" si="47"/>
        <v>2026</v>
      </c>
      <c r="M352" s="150">
        <f t="shared" si="47"/>
        <v>2027</v>
      </c>
      <c r="N352" s="207"/>
      <c r="O352" s="207"/>
      <c r="P352" s="44"/>
    </row>
    <row r="353" spans="1:16" ht="15" customHeight="1" outlineLevel="1">
      <c r="A353" s="60"/>
      <c r="B353" s="94" t="str">
        <f>B$6</f>
        <v>Model Running: Best Case Drivers</v>
      </c>
      <c r="C353" s="93"/>
      <c r="D353" s="92"/>
      <c r="E353" s="92"/>
      <c r="F353" s="92"/>
      <c r="G353" s="92"/>
      <c r="H353" s="92"/>
      <c r="I353" s="203"/>
      <c r="J353" s="203"/>
      <c r="K353" s="203"/>
      <c r="L353" s="203"/>
      <c r="M353" s="203"/>
      <c r="P353" s="44"/>
    </row>
    <row r="354" spans="1:16" s="194" customFormat="1" ht="15" customHeight="1" outlineLevel="1">
      <c r="B354" s="94"/>
      <c r="C354" s="93"/>
      <c r="D354" s="92"/>
      <c r="E354" s="92"/>
      <c r="F354" s="92"/>
      <c r="G354" s="92"/>
      <c r="H354" s="92"/>
      <c r="I354" s="203"/>
      <c r="J354" s="203"/>
      <c r="K354" s="203"/>
      <c r="L354" s="203"/>
      <c r="M354" s="203"/>
      <c r="N354" s="195"/>
      <c r="O354" s="195"/>
    </row>
    <row r="355" spans="1:16" s="194" customFormat="1" ht="15" customHeight="1" outlineLevel="1">
      <c r="B355" s="94"/>
      <c r="C355" s="93"/>
      <c r="D355" s="92"/>
      <c r="E355" s="92"/>
      <c r="F355" s="92"/>
      <c r="G355" s="92"/>
      <c r="H355" s="92"/>
      <c r="I355" s="203"/>
      <c r="J355" s="203"/>
      <c r="K355" s="203"/>
      <c r="L355" s="203"/>
      <c r="M355" s="203"/>
      <c r="N355" s="195"/>
      <c r="O355" s="195"/>
    </row>
    <row r="356" spans="1:16" ht="15" customHeight="1" outlineLevel="1">
      <c r="B356" s="204" t="s">
        <v>94</v>
      </c>
      <c r="C356" s="93"/>
      <c r="D356" s="92"/>
      <c r="E356" s="92"/>
      <c r="F356" s="92"/>
      <c r="G356" s="92"/>
      <c r="H356" s="92"/>
      <c r="I356" s="203"/>
      <c r="J356" s="203"/>
      <c r="K356" s="203"/>
      <c r="L356" s="203"/>
      <c r="M356" s="203"/>
    </row>
    <row r="357" spans="1:16" ht="15" customHeight="1" outlineLevel="1">
      <c r="B357" s="204"/>
      <c r="C357" s="93"/>
      <c r="D357" s="92"/>
      <c r="E357" s="92"/>
      <c r="F357" s="92"/>
      <c r="G357" s="92"/>
      <c r="H357" s="92"/>
      <c r="I357" s="203"/>
      <c r="J357" s="203"/>
      <c r="K357" s="203"/>
      <c r="L357" s="203"/>
      <c r="M357" s="203"/>
    </row>
    <row r="358" spans="1:16" ht="15" customHeight="1" outlineLevel="1">
      <c r="B358" s="72" t="s">
        <v>73</v>
      </c>
      <c r="C358" s="93"/>
      <c r="D358" s="92"/>
      <c r="E358" s="92"/>
      <c r="F358" s="92"/>
      <c r="G358" s="92"/>
      <c r="H358" s="200"/>
      <c r="I358" s="200">
        <f>H360</f>
        <v>8409.9990999999991</v>
      </c>
      <c r="J358" s="200">
        <f>I360</f>
        <v>0</v>
      </c>
      <c r="K358" s="200">
        <f>J360</f>
        <v>0</v>
      </c>
      <c r="L358" s="200">
        <f>K360</f>
        <v>4247.9461221527272</v>
      </c>
      <c r="M358" s="200">
        <f>L360</f>
        <v>9562.2581729921858</v>
      </c>
      <c r="O358" s="69"/>
    </row>
    <row r="359" spans="1:16" ht="15" customHeight="1" outlineLevel="1">
      <c r="B359" s="72" t="s">
        <v>53</v>
      </c>
      <c r="C359" s="93"/>
      <c r="D359" s="92"/>
      <c r="E359" s="92"/>
      <c r="F359" s="92"/>
      <c r="G359" s="92"/>
      <c r="H359" s="202"/>
      <c r="I359" s="201">
        <f>I70</f>
        <v>-8409.9991000000009</v>
      </c>
      <c r="J359" s="201">
        <f>J70</f>
        <v>0</v>
      </c>
      <c r="K359" s="201">
        <f>K70</f>
        <v>4247.9461221527272</v>
      </c>
      <c r="L359" s="201">
        <f>L70</f>
        <v>5314.3120508394586</v>
      </c>
      <c r="M359" s="201">
        <f>M70</f>
        <v>5696.8516538000913</v>
      </c>
      <c r="O359" s="69"/>
    </row>
    <row r="360" spans="1:16" ht="15" customHeight="1" outlineLevel="1">
      <c r="B360" s="72" t="s">
        <v>71</v>
      </c>
      <c r="C360" s="93"/>
      <c r="D360" s="92"/>
      <c r="E360" s="92"/>
      <c r="F360" s="92"/>
      <c r="G360" s="92"/>
      <c r="H360" s="200">
        <f>H82</f>
        <v>8409.9990999999991</v>
      </c>
      <c r="I360" s="200">
        <f>SUM(I358:I359)</f>
        <v>0</v>
      </c>
      <c r="J360" s="200">
        <f>SUM(J358:J359)</f>
        <v>0</v>
      </c>
      <c r="K360" s="200">
        <f>SUM(K358:K359)</f>
        <v>4247.9461221527272</v>
      </c>
      <c r="L360" s="200">
        <f>SUM(L358:L359)</f>
        <v>9562.2581729921858</v>
      </c>
      <c r="M360" s="200">
        <f>SUM(M358:M359)</f>
        <v>15259.109826792277</v>
      </c>
      <c r="O360" s="69"/>
    </row>
    <row r="361" spans="1:16" ht="15" customHeight="1" outlineLevel="1"/>
    <row r="362" spans="1:16" ht="15" customHeight="1" outlineLevel="1">
      <c r="B362" s="72" t="s">
        <v>82</v>
      </c>
      <c r="C362" s="93"/>
      <c r="D362" s="92"/>
      <c r="E362" s="92"/>
      <c r="F362" s="216" t="s">
        <v>3</v>
      </c>
      <c r="G362" s="92"/>
      <c r="H362" s="215"/>
      <c r="I362" s="206">
        <f>Inputs!$F$62</f>
        <v>0.01</v>
      </c>
      <c r="J362" s="206">
        <f>I362</f>
        <v>0.01</v>
      </c>
      <c r="K362" s="206">
        <f>J362</f>
        <v>0.01</v>
      </c>
      <c r="L362" s="206">
        <f>K362</f>
        <v>0.01</v>
      </c>
      <c r="M362" s="206">
        <f>L362</f>
        <v>0.01</v>
      </c>
    </row>
    <row r="363" spans="1:16" ht="15" customHeight="1" outlineLevel="1">
      <c r="B363" s="72" t="s">
        <v>93</v>
      </c>
      <c r="F363" s="214">
        <f>Cover!$D$23</f>
        <v>2</v>
      </c>
      <c r="G363" s="69"/>
      <c r="I363" s="200">
        <f>IF($F$363=1,AVERAGE(I360,I358)*I362,I358*I362)</f>
        <v>84.099990999999989</v>
      </c>
      <c r="J363" s="200">
        <f>IF($F$363=1,AVERAGE(J360,J358)*J362,J358*J362)</f>
        <v>0</v>
      </c>
      <c r="K363" s="200">
        <f>IF($F$363=1,AVERAGE(K360,K358)*K362,K358*K362)</f>
        <v>0</v>
      </c>
      <c r="L363" s="200">
        <f>IF($F$363=1,AVERAGE(L360,L358)*L362,L358*L362)</f>
        <v>42.479461221527274</v>
      </c>
      <c r="M363" s="200">
        <f>IF($F$363=1,AVERAGE(M360,M358)*M362,M358*M362)</f>
        <v>95.622581729921862</v>
      </c>
      <c r="O363" s="69"/>
      <c r="P363" s="23"/>
    </row>
    <row r="364" spans="1:16" ht="15" customHeight="1" outlineLevel="1"/>
    <row r="365" spans="1:16" ht="15" customHeight="1" outlineLevel="1"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</row>
    <row r="366" spans="1:16" ht="15" customHeight="1" outlineLevel="1"/>
    <row r="367" spans="1:16" ht="15" customHeight="1" outlineLevel="1"/>
    <row r="368" spans="1:16" ht="15" customHeight="1" outlineLevel="1">
      <c r="B368" s="204" t="s">
        <v>92</v>
      </c>
      <c r="C368" s="93"/>
      <c r="D368" s="92"/>
      <c r="E368" s="92"/>
      <c r="F368" s="92"/>
      <c r="G368" s="92"/>
      <c r="H368" s="92"/>
      <c r="I368" s="203"/>
      <c r="J368" s="203"/>
      <c r="K368" s="203"/>
      <c r="L368" s="203"/>
      <c r="M368" s="203"/>
    </row>
    <row r="369" spans="1:16" ht="15" customHeight="1" outlineLevel="1">
      <c r="B369" s="204"/>
      <c r="C369" s="93"/>
      <c r="D369" s="92"/>
      <c r="E369" s="92"/>
      <c r="F369" s="92"/>
      <c r="G369" s="92"/>
      <c r="H369" s="92"/>
      <c r="I369" s="203"/>
      <c r="J369" s="203"/>
      <c r="K369" s="203"/>
      <c r="L369" s="203"/>
      <c r="M369" s="203"/>
    </row>
    <row r="370" spans="1:16" ht="15" customHeight="1" outlineLevel="1">
      <c r="B370" s="72" t="s">
        <v>73</v>
      </c>
      <c r="C370" s="93"/>
      <c r="D370" s="92"/>
      <c r="E370" s="92"/>
      <c r="F370" s="92"/>
      <c r="G370" s="92"/>
      <c r="H370" s="200"/>
      <c r="I370" s="200">
        <f>H372</f>
        <v>20000</v>
      </c>
      <c r="J370" s="200">
        <f>I372</f>
        <v>16000</v>
      </c>
      <c r="K370" s="200">
        <f>J372</f>
        <v>12000</v>
      </c>
      <c r="L370" s="200">
        <f>K372</f>
        <v>8000</v>
      </c>
      <c r="M370" s="200">
        <f>L372</f>
        <v>4000</v>
      </c>
      <c r="O370" s="69"/>
    </row>
    <row r="371" spans="1:16" ht="15" customHeight="1" outlineLevel="1">
      <c r="B371" s="72" t="s">
        <v>53</v>
      </c>
      <c r="C371" s="93"/>
      <c r="D371" s="92"/>
      <c r="E371" s="92"/>
      <c r="F371" s="92"/>
      <c r="G371" s="92"/>
      <c r="H371" s="202"/>
      <c r="I371" s="201">
        <f>Inputs!H46</f>
        <v>-4000</v>
      </c>
      <c r="J371" s="201">
        <f>Inputs!I46</f>
        <v>-4000</v>
      </c>
      <c r="K371" s="201">
        <f>Inputs!J46</f>
        <v>-4000</v>
      </c>
      <c r="L371" s="201">
        <f>Inputs!K46</f>
        <v>-4000</v>
      </c>
      <c r="M371" s="201">
        <f>Inputs!L46</f>
        <v>-4000</v>
      </c>
    </row>
    <row r="372" spans="1:16" ht="15" customHeight="1" outlineLevel="1">
      <c r="B372" s="72" t="s">
        <v>71</v>
      </c>
      <c r="C372" s="93"/>
      <c r="D372" s="92"/>
      <c r="E372" s="92"/>
      <c r="F372" s="92"/>
      <c r="G372" s="92"/>
      <c r="H372" s="200">
        <f>H100</f>
        <v>20000</v>
      </c>
      <c r="I372" s="200">
        <f>SUM(I370:I371)</f>
        <v>16000</v>
      </c>
      <c r="J372" s="200">
        <f>SUM(J370:J371)</f>
        <v>12000</v>
      </c>
      <c r="K372" s="200">
        <f>SUM(K370:K371)</f>
        <v>8000</v>
      </c>
      <c r="L372" s="200">
        <f>SUM(L370:L371)</f>
        <v>4000</v>
      </c>
      <c r="M372" s="200">
        <f>SUM(M370:M371)</f>
        <v>0</v>
      </c>
      <c r="O372" s="69"/>
    </row>
    <row r="373" spans="1:16" ht="15" customHeight="1" outlineLevel="1"/>
    <row r="374" spans="1:16" ht="15" customHeight="1" outlineLevel="1">
      <c r="B374" s="72" t="s">
        <v>82</v>
      </c>
      <c r="C374" s="93"/>
      <c r="D374" s="92"/>
      <c r="E374" s="92"/>
      <c r="F374" s="92"/>
      <c r="G374" s="92"/>
      <c r="H374" s="215"/>
      <c r="I374" s="206">
        <f>Inputs!$F$64</f>
        <v>0.06</v>
      </c>
      <c r="J374" s="206">
        <f>I374</f>
        <v>0.06</v>
      </c>
      <c r="K374" s="206">
        <f>J374</f>
        <v>0.06</v>
      </c>
      <c r="L374" s="206">
        <f>K374</f>
        <v>0.06</v>
      </c>
      <c r="M374" s="206">
        <f>L374</f>
        <v>0.06</v>
      </c>
    </row>
    <row r="375" spans="1:16" ht="15" customHeight="1" outlineLevel="1">
      <c r="B375" s="72" t="s">
        <v>81</v>
      </c>
      <c r="I375" s="200">
        <f>AVERAGE(I372,I370)*I374</f>
        <v>1080</v>
      </c>
      <c r="J375" s="200">
        <f>AVERAGE(J372,J370)*J374</f>
        <v>840</v>
      </c>
      <c r="K375" s="200">
        <f>AVERAGE(K372,K370)*K374</f>
        <v>600</v>
      </c>
      <c r="L375" s="200">
        <f>AVERAGE(L372,L370)*L374</f>
        <v>360</v>
      </c>
      <c r="M375" s="200">
        <f>AVERAGE(M372,M370)*M374</f>
        <v>120</v>
      </c>
      <c r="O375" s="69"/>
    </row>
    <row r="376" spans="1:16" ht="15" customHeight="1" outlineLevel="1"/>
    <row r="377" spans="1:16" ht="15" customHeight="1" outlineLevel="1"/>
    <row r="378" spans="1:16" ht="15" customHeight="1" outlineLevel="1"/>
    <row r="379" spans="1:16" s="194" customFormat="1" ht="15" customHeight="1" outlineLevel="1">
      <c r="B379" s="199"/>
      <c r="C379" s="198"/>
      <c r="D379" s="197"/>
      <c r="E379" s="197"/>
      <c r="F379" s="197"/>
      <c r="G379" s="197"/>
      <c r="H379" s="197"/>
      <c r="I379" s="196"/>
      <c r="J379" s="196"/>
      <c r="K379" s="196"/>
      <c r="L379" s="196"/>
      <c r="M379" s="196"/>
      <c r="N379" s="195"/>
      <c r="O379" s="195"/>
    </row>
    <row r="380" spans="1:16" s="194" customFormat="1" ht="15" customHeight="1">
      <c r="B380" s="94"/>
      <c r="C380" s="93"/>
      <c r="D380" s="92"/>
      <c r="E380" s="92"/>
      <c r="F380" s="92"/>
      <c r="G380" s="92"/>
      <c r="H380" s="92"/>
      <c r="I380" s="203"/>
      <c r="J380" s="203"/>
      <c r="K380" s="203"/>
      <c r="L380" s="203"/>
      <c r="M380" s="203"/>
      <c r="N380" s="195"/>
      <c r="O380" s="195"/>
    </row>
    <row r="381" spans="1:16" s="194" customFormat="1" ht="15" customHeight="1">
      <c r="A381" s="194" t="s">
        <v>0</v>
      </c>
      <c r="B381" s="98" t="s">
        <v>91</v>
      </c>
      <c r="C381" s="97"/>
      <c r="D381" s="212"/>
      <c r="E381" s="212"/>
      <c r="F381" s="95"/>
      <c r="G381" s="95"/>
      <c r="H381" s="95"/>
      <c r="I381" s="211"/>
      <c r="J381" s="210"/>
      <c r="K381" s="210"/>
      <c r="L381" s="210"/>
      <c r="M381" s="210"/>
      <c r="N381" s="207"/>
      <c r="O381" s="207"/>
      <c r="P381" s="209"/>
    </row>
    <row r="382" spans="1:16" s="194" customFormat="1" ht="15" customHeight="1" outlineLevel="1">
      <c r="B382" s="192"/>
      <c r="C382" s="93"/>
      <c r="D382" s="191"/>
      <c r="E382" s="191"/>
      <c r="F382" s="190"/>
      <c r="G382" s="190"/>
      <c r="H382" s="190"/>
      <c r="I382" s="190"/>
      <c r="J382" s="190"/>
      <c r="K382" s="190"/>
      <c r="L382" s="190"/>
      <c r="M382" s="190"/>
      <c r="N382" s="207"/>
      <c r="O382" s="207"/>
    </row>
    <row r="383" spans="1:16" s="194" customFormat="1" ht="15" customHeight="1" outlineLevel="1" thickBot="1">
      <c r="B383" s="94" t="s">
        <v>28</v>
      </c>
      <c r="C383" s="93"/>
      <c r="D383" s="92"/>
      <c r="E383" s="92"/>
      <c r="F383" s="92"/>
      <c r="G383" s="92"/>
      <c r="H383" s="208">
        <f t="shared" ref="H383:M383" si="48">H$5</f>
        <v>2022</v>
      </c>
      <c r="I383" s="150">
        <f t="shared" si="48"/>
        <v>2023</v>
      </c>
      <c r="J383" s="150">
        <f t="shared" si="48"/>
        <v>2024</v>
      </c>
      <c r="K383" s="150">
        <f t="shared" si="48"/>
        <v>2025</v>
      </c>
      <c r="L383" s="150">
        <f t="shared" si="48"/>
        <v>2026</v>
      </c>
      <c r="M383" s="150">
        <f t="shared" si="48"/>
        <v>2027</v>
      </c>
      <c r="N383" s="207"/>
      <c r="O383" s="207"/>
      <c r="P383" s="44"/>
    </row>
    <row r="384" spans="1:16" ht="15" customHeight="1" outlineLevel="1">
      <c r="A384" s="60"/>
      <c r="B384" s="94" t="str">
        <f>B$6</f>
        <v>Model Running: Best Case Drivers</v>
      </c>
      <c r="C384" s="93"/>
      <c r="D384" s="92"/>
      <c r="E384" s="92"/>
      <c r="F384" s="92"/>
      <c r="G384" s="92"/>
      <c r="H384" s="92"/>
      <c r="I384" s="203"/>
      <c r="J384" s="203"/>
      <c r="K384" s="203"/>
      <c r="L384" s="203"/>
      <c r="M384" s="203"/>
      <c r="P384" s="44"/>
    </row>
    <row r="385" spans="1:16" ht="15" customHeight="1" outlineLevel="1">
      <c r="A385" s="60"/>
      <c r="B385" s="94"/>
      <c r="C385" s="93"/>
      <c r="D385" s="92"/>
      <c r="E385" s="92"/>
      <c r="F385" s="92"/>
      <c r="G385" s="92"/>
      <c r="H385" s="92"/>
      <c r="I385" s="203"/>
      <c r="J385" s="203"/>
      <c r="K385" s="203"/>
      <c r="L385" s="203"/>
      <c r="M385" s="203"/>
      <c r="P385" s="44"/>
    </row>
    <row r="386" spans="1:16" ht="15" customHeight="1" outlineLevel="1">
      <c r="A386" s="60"/>
      <c r="B386" s="94"/>
      <c r="C386" s="93"/>
      <c r="D386" s="92"/>
      <c r="E386" s="92"/>
      <c r="F386" s="92"/>
      <c r="G386" s="92"/>
      <c r="H386" s="92"/>
      <c r="I386" s="203"/>
      <c r="J386" s="203"/>
      <c r="K386" s="203"/>
      <c r="L386" s="203"/>
      <c r="M386" s="203"/>
      <c r="P386" s="44"/>
    </row>
    <row r="387" spans="1:16" ht="15" customHeight="1" outlineLevel="1">
      <c r="B387" s="204" t="s">
        <v>90</v>
      </c>
      <c r="C387" s="93"/>
      <c r="H387" s="92"/>
      <c r="I387" s="203"/>
      <c r="J387" s="203"/>
      <c r="K387" s="203"/>
      <c r="L387" s="203"/>
      <c r="M387" s="203"/>
    </row>
    <row r="388" spans="1:16" ht="15" customHeight="1" outlineLevel="1">
      <c r="B388" s="204"/>
      <c r="C388" s="93"/>
      <c r="H388" s="92"/>
      <c r="I388" s="203"/>
      <c r="J388" s="203"/>
      <c r="K388" s="203"/>
      <c r="L388" s="203"/>
      <c r="M388" s="203"/>
    </row>
    <row r="389" spans="1:16" ht="15" customHeight="1" outlineLevel="1">
      <c r="B389" s="72" t="s">
        <v>89</v>
      </c>
      <c r="C389" s="93"/>
      <c r="H389" s="200"/>
      <c r="I389" s="200">
        <f>I69</f>
        <v>8409.9990999999991</v>
      </c>
      <c r="J389" s="200">
        <f>J69</f>
        <v>0</v>
      </c>
      <c r="K389" s="200">
        <f>K69</f>
        <v>0</v>
      </c>
      <c r="L389" s="200">
        <f>L69</f>
        <v>4247.9461221527272</v>
      </c>
      <c r="M389" s="200">
        <f>M69</f>
        <v>9562.2581729921858</v>
      </c>
      <c r="O389" s="69"/>
    </row>
    <row r="390" spans="1:16" ht="15" customHeight="1" outlineLevel="1">
      <c r="B390" s="72" t="s">
        <v>88</v>
      </c>
      <c r="C390" s="93"/>
      <c r="D390" s="92"/>
      <c r="E390" s="92"/>
      <c r="F390" s="92"/>
      <c r="G390" s="92"/>
      <c r="H390" s="200"/>
      <c r="I390" s="200">
        <f>I52</f>
        <v>17133.518124888258</v>
      </c>
      <c r="J390" s="200">
        <f>J52</f>
        <v>17796.57217957429</v>
      </c>
      <c r="K390" s="200">
        <f>K52</f>
        <v>18830.350311241236</v>
      </c>
      <c r="L390" s="200">
        <f>L52</f>
        <v>19798.191209659948</v>
      </c>
      <c r="M390" s="200">
        <f>M52</f>
        <v>20593.70566388921</v>
      </c>
      <c r="O390" s="69"/>
    </row>
    <row r="391" spans="1:16" ht="15" customHeight="1" outlineLevel="1">
      <c r="B391" s="72" t="s">
        <v>87</v>
      </c>
      <c r="C391" s="93"/>
      <c r="D391" s="92"/>
      <c r="E391" s="92"/>
      <c r="F391" s="92"/>
      <c r="G391" s="92"/>
      <c r="H391" s="200"/>
      <c r="I391" s="200">
        <f>I57</f>
        <v>-23000</v>
      </c>
      <c r="J391" s="200">
        <f>J57</f>
        <v>-6450</v>
      </c>
      <c r="K391" s="200">
        <f>K57</f>
        <v>-6600</v>
      </c>
      <c r="L391" s="200">
        <f>L57</f>
        <v>-6900</v>
      </c>
      <c r="M391" s="200">
        <f>M57</f>
        <v>-7200</v>
      </c>
      <c r="O391" s="69"/>
    </row>
    <row r="392" spans="1:16" ht="15" customHeight="1" outlineLevel="1">
      <c r="B392" s="72" t="s">
        <v>86</v>
      </c>
      <c r="I392" s="200">
        <f>I371</f>
        <v>-4000</v>
      </c>
      <c r="J392" s="200">
        <f>J371</f>
        <v>-4000</v>
      </c>
      <c r="K392" s="200">
        <f>K371</f>
        <v>-4000</v>
      </c>
      <c r="L392" s="200">
        <f>L371</f>
        <v>-4000</v>
      </c>
      <c r="M392" s="200">
        <f>M371</f>
        <v>-4000</v>
      </c>
      <c r="O392" s="69"/>
    </row>
    <row r="393" spans="1:16" ht="15" customHeight="1" outlineLevel="1">
      <c r="B393" s="72" t="s">
        <v>85</v>
      </c>
      <c r="I393" s="200">
        <f>I428</f>
        <v>-1000</v>
      </c>
      <c r="J393" s="200">
        <f>J428</f>
        <v>-1000</v>
      </c>
      <c r="K393" s="200">
        <f>K428</f>
        <v>-1000</v>
      </c>
      <c r="L393" s="200">
        <f>L428</f>
        <v>-1000</v>
      </c>
      <c r="M393" s="200">
        <f>M428</f>
        <v>-1000</v>
      </c>
      <c r="O393" s="69"/>
    </row>
    <row r="394" spans="1:16" ht="15" customHeight="1" outlineLevel="1">
      <c r="B394" s="72" t="s">
        <v>72</v>
      </c>
      <c r="I394" s="201">
        <f>-I433</f>
        <v>-2200.2038190195003</v>
      </c>
      <c r="J394" s="201">
        <f>-J433</f>
        <v>-2244.919227681235</v>
      </c>
      <c r="K394" s="201">
        <f>-K433</f>
        <v>-2427.3705468503226</v>
      </c>
      <c r="L394" s="201">
        <f>-L433</f>
        <v>-2583.8791588204895</v>
      </c>
      <c r="M394" s="201">
        <f>-M433</f>
        <v>-2696.8540100891187</v>
      </c>
      <c r="O394" s="69"/>
    </row>
    <row r="395" spans="1:16" ht="15" customHeight="1" outlineLevel="1">
      <c r="B395" s="72" t="s">
        <v>84</v>
      </c>
      <c r="I395" s="200">
        <f>SUM(I389:I394)</f>
        <v>-4656.6865941312408</v>
      </c>
      <c r="J395" s="200">
        <f>SUM(J389:J394)</f>
        <v>4101.6529518930547</v>
      </c>
      <c r="K395" s="200">
        <f>SUM(K389:K394)</f>
        <v>4802.9797643909133</v>
      </c>
      <c r="L395" s="200">
        <f>SUM(L389:L394)</f>
        <v>9562.2581729921858</v>
      </c>
      <c r="M395" s="200">
        <f>SUM(M389:M394)</f>
        <v>15259.109826792279</v>
      </c>
      <c r="O395" s="69"/>
    </row>
    <row r="396" spans="1:16" ht="15" customHeight="1" outlineLevel="1"/>
    <row r="397" spans="1:16" ht="15" customHeight="1" outlineLevel="1"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</row>
    <row r="398" spans="1:16" ht="15" customHeight="1" outlineLevel="1"/>
    <row r="399" spans="1:16" ht="15" customHeight="1" outlineLevel="1"/>
    <row r="400" spans="1:16" ht="15" customHeight="1" outlineLevel="1">
      <c r="B400" s="204" t="s">
        <v>83</v>
      </c>
      <c r="C400" s="93"/>
      <c r="H400" s="92"/>
      <c r="I400" s="203"/>
      <c r="J400" s="203"/>
      <c r="K400" s="203"/>
      <c r="L400" s="203"/>
      <c r="M400" s="203"/>
    </row>
    <row r="401" spans="1:16" ht="15" customHeight="1" outlineLevel="1">
      <c r="B401" s="204"/>
      <c r="C401" s="93"/>
      <c r="H401" s="92"/>
      <c r="I401" s="203"/>
      <c r="J401" s="203"/>
      <c r="K401" s="203"/>
      <c r="L401" s="203"/>
      <c r="M401" s="203"/>
    </row>
    <row r="402" spans="1:16" ht="15" customHeight="1" outlineLevel="1">
      <c r="B402" s="72" t="s">
        <v>73</v>
      </c>
      <c r="C402" s="93"/>
      <c r="D402" s="92"/>
      <c r="E402" s="92"/>
      <c r="F402" s="92"/>
      <c r="G402" s="92"/>
      <c r="H402" s="200"/>
      <c r="I402" s="200">
        <f>H404</f>
        <v>0</v>
      </c>
      <c r="J402" s="200">
        <f>I404</f>
        <v>4656.6865941312408</v>
      </c>
      <c r="K402" s="200">
        <f>J404</f>
        <v>555.03364223818608</v>
      </c>
      <c r="L402" s="200">
        <f>K404</f>
        <v>0</v>
      </c>
      <c r="M402" s="200">
        <f>L404</f>
        <v>0</v>
      </c>
      <c r="O402" s="69"/>
    </row>
    <row r="403" spans="1:16" ht="15" customHeight="1" outlineLevel="1">
      <c r="B403" s="72" t="s">
        <v>53</v>
      </c>
      <c r="C403" s="93"/>
      <c r="D403" s="92"/>
      <c r="E403" s="92"/>
      <c r="F403" s="92"/>
      <c r="G403" s="92"/>
      <c r="H403" s="202"/>
      <c r="I403" s="201">
        <f>-MIN(I395,I402)</f>
        <v>4656.6865941312408</v>
      </c>
      <c r="J403" s="201">
        <f>-MIN(J395,J402)</f>
        <v>-4101.6529518930547</v>
      </c>
      <c r="K403" s="201">
        <f>-MIN(K395,K402)</f>
        <v>-555.03364223818608</v>
      </c>
      <c r="L403" s="201">
        <f>-MIN(L395,L402)</f>
        <v>0</v>
      </c>
      <c r="M403" s="201">
        <f>-MIN(M395,M402)</f>
        <v>0</v>
      </c>
      <c r="O403" s="69"/>
    </row>
    <row r="404" spans="1:16" ht="15" customHeight="1" outlineLevel="1">
      <c r="B404" s="72" t="s">
        <v>71</v>
      </c>
      <c r="C404" s="93"/>
      <c r="D404" s="92"/>
      <c r="E404" s="92"/>
      <c r="F404" s="92"/>
      <c r="G404" s="92"/>
      <c r="H404" s="200">
        <f>H96</f>
        <v>0</v>
      </c>
      <c r="I404" s="200">
        <f>SUM(I402:I403)</f>
        <v>4656.6865941312408</v>
      </c>
      <c r="J404" s="200">
        <f>SUM(J402:J403)</f>
        <v>555.03364223818608</v>
      </c>
      <c r="K404" s="200">
        <f>SUM(K402:K403)</f>
        <v>0</v>
      </c>
      <c r="L404" s="200">
        <f>SUM(L402:L403)</f>
        <v>0</v>
      </c>
      <c r="M404" s="200">
        <f>SUM(M402:M403)</f>
        <v>0</v>
      </c>
      <c r="O404" s="69"/>
    </row>
    <row r="405" spans="1:16" ht="15" customHeight="1" outlineLevel="1">
      <c r="B405" s="72"/>
      <c r="C405" s="93"/>
      <c r="D405" s="92"/>
      <c r="E405" s="92"/>
      <c r="F405" s="92"/>
      <c r="G405" s="92"/>
      <c r="H405" s="200"/>
      <c r="I405" s="200"/>
      <c r="J405" s="200"/>
      <c r="K405" s="200"/>
      <c r="L405" s="200"/>
      <c r="M405" s="200"/>
    </row>
    <row r="406" spans="1:16" ht="15" customHeight="1" outlineLevel="1">
      <c r="B406" s="72" t="s">
        <v>82</v>
      </c>
      <c r="C406" s="93"/>
      <c r="D406" s="92"/>
      <c r="E406" s="92"/>
      <c r="F406" s="216" t="s">
        <v>3</v>
      </c>
      <c r="G406" s="92"/>
      <c r="H406" s="215"/>
      <c r="I406" s="206">
        <f>Inputs!$F$63</f>
        <v>0.05</v>
      </c>
      <c r="J406" s="206">
        <f>I406</f>
        <v>0.05</v>
      </c>
      <c r="K406" s="206">
        <f>J406</f>
        <v>0.05</v>
      </c>
      <c r="L406" s="206">
        <f>K406</f>
        <v>0.05</v>
      </c>
      <c r="M406" s="206">
        <f>L406</f>
        <v>0.05</v>
      </c>
    </row>
    <row r="407" spans="1:16" ht="15" customHeight="1" outlineLevel="1">
      <c r="B407" s="72" t="s">
        <v>81</v>
      </c>
      <c r="F407" s="214">
        <f>Cover!$D$23</f>
        <v>2</v>
      </c>
      <c r="G407" s="69"/>
      <c r="I407" s="200">
        <f>IF($F$407=1,AVERAGE(I404,I402)*I406,I402*I406)</f>
        <v>0</v>
      </c>
      <c r="J407" s="200">
        <f>IF($F$407=1,AVERAGE(J404,J402)*J406,J402*J406)</f>
        <v>232.83432970656204</v>
      </c>
      <c r="K407" s="200">
        <f>IF($F$407=1,AVERAGE(K404,K402)*K406,K402*K406)</f>
        <v>27.751682111909304</v>
      </c>
      <c r="L407" s="200">
        <f>IF($F$407=1,AVERAGE(L404,L402)*L406,L402*L406)</f>
        <v>0</v>
      </c>
      <c r="M407" s="200">
        <f>IF($F$407=1,AVERAGE(M404,M402)*M406,M402*M406)</f>
        <v>0</v>
      </c>
      <c r="O407" s="69"/>
      <c r="P407" s="23"/>
    </row>
    <row r="408" spans="1:16" ht="15" customHeight="1" outlineLevel="1"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</row>
    <row r="409" spans="1:16" ht="15" customHeight="1" outlineLevel="1"/>
    <row r="410" spans="1:16" ht="15" customHeight="1" outlineLevel="1">
      <c r="B410" s="72"/>
      <c r="I410" s="200"/>
      <c r="J410" s="200"/>
      <c r="K410" s="200"/>
      <c r="L410" s="200"/>
      <c r="M410" s="200"/>
    </row>
    <row r="411" spans="1:16" ht="15" customHeight="1" outlineLevel="1">
      <c r="B411" s="72" t="s">
        <v>81</v>
      </c>
      <c r="I411" s="200">
        <f>I407+I375</f>
        <v>1080</v>
      </c>
      <c r="J411" s="200">
        <f>J407+J375</f>
        <v>1072.8343297065621</v>
      </c>
      <c r="K411" s="200">
        <f>K407+K375</f>
        <v>627.7516821119093</v>
      </c>
      <c r="L411" s="200">
        <f>L407+L375</f>
        <v>360</v>
      </c>
      <c r="M411" s="200">
        <f>M407+M375</f>
        <v>120</v>
      </c>
      <c r="O411" s="69"/>
    </row>
    <row r="412" spans="1:16" ht="15" customHeight="1" outlineLevel="1">
      <c r="B412" s="72" t="s">
        <v>80</v>
      </c>
      <c r="I412" s="200">
        <f>-I363</f>
        <v>-84.099990999999989</v>
      </c>
      <c r="J412" s="200">
        <f>-J363</f>
        <v>0</v>
      </c>
      <c r="K412" s="200">
        <f>-K363</f>
        <v>0</v>
      </c>
      <c r="L412" s="200">
        <f>-L363</f>
        <v>-42.479461221527274</v>
      </c>
      <c r="M412" s="200">
        <f>-M363</f>
        <v>-95.622581729921862</v>
      </c>
      <c r="O412" s="69"/>
    </row>
    <row r="413" spans="1:16" ht="15" customHeight="1" outlineLevel="1" thickBot="1">
      <c r="B413" s="72" t="s">
        <v>79</v>
      </c>
      <c r="I413" s="213">
        <f>SUM(I411:I412)</f>
        <v>995.90000899999995</v>
      </c>
      <c r="J413" s="213">
        <f>SUM(J411:J412)</f>
        <v>1072.8343297065621</v>
      </c>
      <c r="K413" s="213">
        <f>SUM(K411:K412)</f>
        <v>627.7516821119093</v>
      </c>
      <c r="L413" s="213">
        <f>SUM(L411:L412)</f>
        <v>317.52053877847271</v>
      </c>
      <c r="M413" s="213">
        <f>SUM(M411:M412)</f>
        <v>24.377418270078138</v>
      </c>
      <c r="O413" s="69"/>
    </row>
    <row r="414" spans="1:16" ht="15" customHeight="1" outlineLevel="1">
      <c r="A414" s="60"/>
      <c r="B414" s="94"/>
      <c r="C414" s="93"/>
      <c r="D414" s="92"/>
      <c r="E414" s="92"/>
      <c r="F414" s="92"/>
      <c r="G414" s="92"/>
      <c r="H414" s="92"/>
      <c r="I414" s="203"/>
      <c r="J414" s="203"/>
      <c r="K414" s="203"/>
      <c r="L414" s="203"/>
      <c r="M414" s="203"/>
      <c r="P414" s="44"/>
    </row>
    <row r="415" spans="1:16" ht="15" customHeight="1" outlineLevel="1">
      <c r="A415" s="60"/>
      <c r="B415" s="94"/>
      <c r="C415" s="93"/>
      <c r="D415" s="92"/>
      <c r="E415" s="92"/>
      <c r="F415" s="92"/>
      <c r="G415" s="92"/>
      <c r="H415" s="92"/>
      <c r="I415" s="203"/>
      <c r="J415" s="203"/>
      <c r="K415" s="203"/>
      <c r="L415" s="203"/>
      <c r="M415" s="203"/>
      <c r="P415" s="44"/>
    </row>
    <row r="416" spans="1:16" s="194" customFormat="1" ht="15" customHeight="1" outlineLevel="1">
      <c r="B416" s="94"/>
      <c r="C416" s="93"/>
      <c r="D416" s="92"/>
      <c r="E416" s="92"/>
      <c r="F416" s="92"/>
      <c r="G416" s="92"/>
      <c r="H416" s="92"/>
      <c r="I416" s="203"/>
      <c r="J416" s="203"/>
      <c r="K416" s="203"/>
      <c r="L416" s="203"/>
      <c r="M416" s="203"/>
      <c r="N416" s="195"/>
      <c r="O416" s="195"/>
    </row>
    <row r="417" spans="1:16" s="194" customFormat="1" ht="15" customHeight="1" outlineLevel="1">
      <c r="B417" s="199"/>
      <c r="C417" s="198"/>
      <c r="D417" s="197"/>
      <c r="E417" s="197"/>
      <c r="F417" s="197"/>
      <c r="G417" s="197"/>
      <c r="H417" s="197"/>
      <c r="I417" s="196"/>
      <c r="J417" s="196"/>
      <c r="K417" s="196"/>
      <c r="L417" s="196"/>
      <c r="M417" s="196"/>
      <c r="N417" s="195"/>
      <c r="O417" s="195"/>
    </row>
    <row r="418" spans="1:16" s="194" customFormat="1" ht="15" customHeight="1">
      <c r="B418" s="94"/>
      <c r="C418" s="93"/>
      <c r="D418" s="92"/>
      <c r="E418" s="92"/>
      <c r="F418" s="92"/>
      <c r="G418" s="92"/>
      <c r="H418" s="92"/>
      <c r="I418" s="203"/>
      <c r="J418" s="203"/>
      <c r="K418" s="203"/>
      <c r="L418" s="203"/>
      <c r="M418" s="203"/>
      <c r="N418" s="195"/>
      <c r="O418" s="195"/>
    </row>
    <row r="419" spans="1:16" s="194" customFormat="1" ht="15" customHeight="1">
      <c r="A419" s="194" t="s">
        <v>0</v>
      </c>
      <c r="B419" s="98" t="s">
        <v>78</v>
      </c>
      <c r="C419" s="97"/>
      <c r="D419" s="212"/>
      <c r="E419" s="212"/>
      <c r="F419" s="95"/>
      <c r="G419" s="95"/>
      <c r="H419" s="95"/>
      <c r="I419" s="211"/>
      <c r="J419" s="210"/>
      <c r="K419" s="210"/>
      <c r="L419" s="210"/>
      <c r="M419" s="210"/>
      <c r="N419" s="207"/>
      <c r="O419" s="207"/>
      <c r="P419" s="209"/>
    </row>
    <row r="420" spans="1:16" s="194" customFormat="1" ht="15" customHeight="1" outlineLevel="1">
      <c r="B420" s="192"/>
      <c r="C420" s="93"/>
      <c r="D420" s="191"/>
      <c r="E420" s="191"/>
      <c r="F420" s="190"/>
      <c r="G420" s="190"/>
      <c r="H420" s="190"/>
      <c r="I420" s="190"/>
      <c r="J420" s="190"/>
      <c r="K420" s="190"/>
      <c r="L420" s="190"/>
      <c r="M420" s="190"/>
      <c r="N420" s="207"/>
      <c r="O420" s="207"/>
    </row>
    <row r="421" spans="1:16" s="194" customFormat="1" ht="15" customHeight="1" outlineLevel="1" thickBot="1">
      <c r="B421" s="94" t="s">
        <v>28</v>
      </c>
      <c r="C421" s="93"/>
      <c r="D421" s="92"/>
      <c r="E421" s="92"/>
      <c r="F421" s="92"/>
      <c r="G421" s="92"/>
      <c r="H421" s="208">
        <f t="shared" ref="H421:M421" si="49">H$5</f>
        <v>2022</v>
      </c>
      <c r="I421" s="150">
        <f t="shared" si="49"/>
        <v>2023</v>
      </c>
      <c r="J421" s="150">
        <f t="shared" si="49"/>
        <v>2024</v>
      </c>
      <c r="K421" s="150">
        <f t="shared" si="49"/>
        <v>2025</v>
      </c>
      <c r="L421" s="150">
        <f t="shared" si="49"/>
        <v>2026</v>
      </c>
      <c r="M421" s="150">
        <f t="shared" si="49"/>
        <v>2027</v>
      </c>
      <c r="N421" s="207"/>
      <c r="O421" s="207"/>
      <c r="P421" s="44"/>
    </row>
    <row r="422" spans="1:16" ht="15" customHeight="1" outlineLevel="1">
      <c r="A422" s="60"/>
      <c r="B422" s="94" t="str">
        <f>B$6</f>
        <v>Model Running: Best Case Drivers</v>
      </c>
      <c r="C422" s="93"/>
      <c r="D422" s="92"/>
      <c r="E422" s="92"/>
      <c r="F422" s="92"/>
      <c r="G422" s="92"/>
      <c r="H422" s="92"/>
      <c r="I422" s="203"/>
      <c r="J422" s="203"/>
      <c r="K422" s="203"/>
      <c r="L422" s="203"/>
      <c r="M422" s="203"/>
      <c r="P422" s="44"/>
    </row>
    <row r="423" spans="1:16" s="194" customFormat="1" ht="15" customHeight="1" outlineLevel="1">
      <c r="B423" s="94"/>
      <c r="C423" s="93"/>
      <c r="D423" s="92"/>
      <c r="E423" s="92"/>
      <c r="F423" s="92"/>
      <c r="G423" s="92"/>
      <c r="H423" s="92"/>
      <c r="I423" s="203"/>
      <c r="J423" s="203"/>
      <c r="K423" s="203"/>
      <c r="L423" s="203"/>
      <c r="M423" s="203"/>
      <c r="N423" s="195"/>
      <c r="O423" s="195"/>
    </row>
    <row r="424" spans="1:16" s="194" customFormat="1" ht="15" customHeight="1" outlineLevel="1">
      <c r="B424" s="94"/>
      <c r="C424" s="93"/>
      <c r="D424" s="92"/>
      <c r="E424" s="92"/>
      <c r="F424" s="92"/>
      <c r="G424" s="92"/>
      <c r="H424" s="92"/>
      <c r="I424" s="203"/>
      <c r="J424" s="203"/>
      <c r="K424" s="203"/>
      <c r="L424" s="203"/>
      <c r="M424" s="203"/>
      <c r="N424" s="195"/>
      <c r="O424" s="195"/>
    </row>
    <row r="425" spans="1:16" ht="15" customHeight="1" outlineLevel="1">
      <c r="B425" s="204" t="s">
        <v>77</v>
      </c>
      <c r="C425" s="93"/>
      <c r="D425" s="92"/>
      <c r="E425" s="92"/>
      <c r="F425" s="92"/>
      <c r="G425" s="92"/>
      <c r="H425" s="92"/>
      <c r="I425" s="203"/>
      <c r="J425" s="203"/>
      <c r="K425" s="203"/>
      <c r="L425" s="203"/>
      <c r="M425" s="203"/>
    </row>
    <row r="426" spans="1:16" ht="15" customHeight="1" outlineLevel="1">
      <c r="B426" s="204"/>
      <c r="C426" s="93"/>
      <c r="D426" s="92"/>
      <c r="E426" s="92"/>
      <c r="F426" s="92"/>
      <c r="G426" s="92"/>
      <c r="H426" s="92"/>
      <c r="I426" s="203"/>
      <c r="J426" s="203"/>
      <c r="K426" s="203"/>
      <c r="L426" s="203"/>
      <c r="M426" s="203"/>
    </row>
    <row r="427" spans="1:16" ht="15" customHeight="1" outlineLevel="1">
      <c r="B427" s="72" t="s">
        <v>73</v>
      </c>
      <c r="C427" s="93"/>
      <c r="D427" s="92"/>
      <c r="E427" s="92"/>
      <c r="F427" s="92"/>
      <c r="G427" s="92"/>
      <c r="H427" s="200"/>
      <c r="I427" s="200">
        <f>H429</f>
        <v>38669.700000000084</v>
      </c>
      <c r="J427" s="200">
        <f>I429</f>
        <v>37669.700000000084</v>
      </c>
      <c r="K427" s="200">
        <f>J429</f>
        <v>36669.700000000084</v>
      </c>
      <c r="L427" s="200">
        <f>K429</f>
        <v>35669.700000000084</v>
      </c>
      <c r="M427" s="200">
        <f>L429</f>
        <v>34669.700000000084</v>
      </c>
      <c r="O427" s="69"/>
    </row>
    <row r="428" spans="1:16" ht="15" customHeight="1" outlineLevel="1">
      <c r="B428" s="72" t="s">
        <v>53</v>
      </c>
      <c r="C428" s="93"/>
      <c r="D428" s="92"/>
      <c r="E428" s="92"/>
      <c r="F428" s="92"/>
      <c r="G428" s="92"/>
      <c r="H428" s="202"/>
      <c r="I428" s="201">
        <f>Inputs!H47</f>
        <v>-1000</v>
      </c>
      <c r="J428" s="201">
        <f>Inputs!I47</f>
        <v>-1000</v>
      </c>
      <c r="K428" s="201">
        <f>Inputs!J47</f>
        <v>-1000</v>
      </c>
      <c r="L428" s="201">
        <f>Inputs!K47</f>
        <v>-1000</v>
      </c>
      <c r="M428" s="201">
        <f>Inputs!L47</f>
        <v>-1000</v>
      </c>
    </row>
    <row r="429" spans="1:16" ht="15" customHeight="1" outlineLevel="1">
      <c r="B429" s="72" t="s">
        <v>71</v>
      </c>
      <c r="C429" s="93"/>
      <c r="D429" s="92"/>
      <c r="E429" s="92"/>
      <c r="F429" s="92"/>
      <c r="G429" s="92"/>
      <c r="H429" s="200">
        <f>H106</f>
        <v>38669.700000000084</v>
      </c>
      <c r="I429" s="200">
        <f>SUM(I427:I428)</f>
        <v>37669.700000000084</v>
      </c>
      <c r="J429" s="200">
        <f>SUM(J427:J428)</f>
        <v>36669.700000000084</v>
      </c>
      <c r="K429" s="200">
        <f>SUM(K427:K428)</f>
        <v>35669.700000000084</v>
      </c>
      <c r="L429" s="200">
        <f>SUM(L427:L428)</f>
        <v>34669.700000000084</v>
      </c>
      <c r="M429" s="200">
        <f>SUM(M427:M428)</f>
        <v>33669.700000000084</v>
      </c>
      <c r="O429" s="69"/>
    </row>
    <row r="430" spans="1:16" ht="15" customHeight="1" outlineLevel="1"/>
    <row r="431" spans="1:16" ht="15" customHeight="1" outlineLevel="1">
      <c r="B431" s="72" t="s">
        <v>23</v>
      </c>
      <c r="C431" s="93"/>
      <c r="D431" s="92"/>
      <c r="E431" s="92"/>
      <c r="F431" s="92"/>
      <c r="G431" s="92"/>
      <c r="H431" s="200"/>
      <c r="I431" s="200">
        <f>I35</f>
        <v>11001.019095097501</v>
      </c>
      <c r="J431" s="200">
        <f>J35</f>
        <v>11224.596138406174</v>
      </c>
      <c r="K431" s="200">
        <f>K35</f>
        <v>12136.852734251612</v>
      </c>
      <c r="L431" s="200">
        <f>L35</f>
        <v>12919.395794102446</v>
      </c>
      <c r="M431" s="200">
        <f>M35</f>
        <v>13484.270050445593</v>
      </c>
      <c r="O431" s="69"/>
    </row>
    <row r="432" spans="1:16" ht="15" customHeight="1" outlineLevel="1">
      <c r="B432" s="72" t="s">
        <v>76</v>
      </c>
      <c r="C432" s="93"/>
      <c r="D432" s="92"/>
      <c r="E432" s="92"/>
      <c r="F432" s="92"/>
      <c r="G432" s="92"/>
      <c r="H432" s="200"/>
      <c r="I432" s="206">
        <f>Inputs!$F$58</f>
        <v>0.2</v>
      </c>
      <c r="J432" s="206">
        <f>I432</f>
        <v>0.2</v>
      </c>
      <c r="K432" s="206">
        <f>J432</f>
        <v>0.2</v>
      </c>
      <c r="L432" s="206">
        <f>K432</f>
        <v>0.2</v>
      </c>
      <c r="M432" s="206">
        <f>L432</f>
        <v>0.2</v>
      </c>
    </row>
    <row r="433" spans="2:15" ht="15" customHeight="1" outlineLevel="1">
      <c r="B433" s="72" t="s">
        <v>75</v>
      </c>
      <c r="C433" s="93"/>
      <c r="D433" s="92"/>
      <c r="E433" s="92"/>
      <c r="F433" s="92"/>
      <c r="G433" s="92"/>
      <c r="H433" s="200"/>
      <c r="I433" s="200">
        <f>MAX(I432*I431,0)</f>
        <v>2200.2038190195003</v>
      </c>
      <c r="J433" s="200">
        <f>MAX(J432*J431,0)</f>
        <v>2244.919227681235</v>
      </c>
      <c r="K433" s="200">
        <f>MAX(K432*K431,0)</f>
        <v>2427.3705468503226</v>
      </c>
      <c r="L433" s="200">
        <f>MAX(L432*L431,0)</f>
        <v>2583.8791588204895</v>
      </c>
      <c r="M433" s="200">
        <f>MAX(M432*M431,0)</f>
        <v>2696.8540100891187</v>
      </c>
      <c r="O433" s="69"/>
    </row>
    <row r="434" spans="2:15" ht="15" customHeight="1" outlineLevel="1">
      <c r="B434" s="72"/>
      <c r="C434" s="93"/>
      <c r="D434" s="92"/>
      <c r="E434" s="92"/>
      <c r="F434" s="92"/>
      <c r="G434" s="92"/>
      <c r="H434" s="200"/>
      <c r="I434" s="200"/>
      <c r="J434" s="200"/>
      <c r="K434" s="200"/>
      <c r="L434" s="200"/>
      <c r="M434" s="200"/>
    </row>
    <row r="435" spans="2:15" ht="15" customHeight="1" outlineLevel="1">
      <c r="B435" s="205"/>
      <c r="C435" s="198"/>
      <c r="D435" s="197"/>
      <c r="E435" s="197"/>
      <c r="F435" s="197"/>
      <c r="G435" s="197"/>
      <c r="H435" s="201"/>
      <c r="I435" s="201"/>
      <c r="J435" s="201"/>
      <c r="K435" s="201"/>
      <c r="L435" s="201"/>
      <c r="M435" s="201"/>
    </row>
    <row r="436" spans="2:15" ht="15" customHeight="1" outlineLevel="1">
      <c r="B436" s="72"/>
      <c r="C436" s="93"/>
      <c r="D436" s="92"/>
      <c r="E436" s="92"/>
      <c r="F436" s="92"/>
      <c r="G436" s="92"/>
      <c r="H436" s="200"/>
      <c r="I436" s="200"/>
      <c r="J436" s="200"/>
      <c r="K436" s="200"/>
      <c r="L436" s="200"/>
      <c r="M436" s="200"/>
    </row>
    <row r="437" spans="2:15" ht="15" customHeight="1" outlineLevel="1"/>
    <row r="438" spans="2:15" ht="15" customHeight="1" outlineLevel="1">
      <c r="B438" s="204" t="s">
        <v>74</v>
      </c>
      <c r="C438" s="93"/>
      <c r="D438" s="92"/>
      <c r="E438" s="92"/>
      <c r="F438" s="92"/>
      <c r="G438" s="92"/>
      <c r="H438" s="92"/>
      <c r="I438" s="203"/>
      <c r="J438" s="203"/>
      <c r="K438" s="203"/>
      <c r="L438" s="203"/>
      <c r="M438" s="203"/>
    </row>
    <row r="439" spans="2:15" ht="15" customHeight="1" outlineLevel="1">
      <c r="B439" s="204"/>
      <c r="C439" s="93"/>
      <c r="D439" s="92"/>
      <c r="E439" s="92"/>
      <c r="F439" s="92"/>
      <c r="G439" s="92"/>
      <c r="H439" s="92"/>
      <c r="I439" s="203"/>
      <c r="J439" s="203"/>
      <c r="K439" s="203"/>
      <c r="L439" s="203"/>
      <c r="M439" s="203"/>
    </row>
    <row r="440" spans="2:15" ht="15" customHeight="1" outlineLevel="1">
      <c r="B440" s="72" t="s">
        <v>73</v>
      </c>
      <c r="C440" s="93"/>
      <c r="D440" s="92"/>
      <c r="E440" s="92"/>
      <c r="F440" s="92"/>
      <c r="G440" s="92"/>
      <c r="H440" s="200"/>
      <c r="I440" s="200">
        <f>H443</f>
        <v>20433.299099999997</v>
      </c>
      <c r="J440" s="200">
        <f>I443</f>
        <v>29234.114376077996</v>
      </c>
      <c r="K440" s="200">
        <f>J443</f>
        <v>38213.791286802938</v>
      </c>
      <c r="L440" s="200">
        <f>K443</f>
        <v>47923.273474204223</v>
      </c>
      <c r="M440" s="200">
        <f>L443</f>
        <v>58258.790109486174</v>
      </c>
      <c r="O440" s="69"/>
    </row>
    <row r="441" spans="2:15" ht="15" customHeight="1" outlineLevel="1">
      <c r="B441" s="72" t="s">
        <v>23</v>
      </c>
      <c r="C441" s="93"/>
      <c r="D441" s="92"/>
      <c r="E441" s="92"/>
      <c r="F441" s="92"/>
      <c r="G441" s="92"/>
      <c r="H441" s="200"/>
      <c r="I441" s="200">
        <f>I35</f>
        <v>11001.019095097501</v>
      </c>
      <c r="J441" s="200">
        <f>J35</f>
        <v>11224.596138406174</v>
      </c>
      <c r="K441" s="200">
        <f>K35</f>
        <v>12136.852734251612</v>
      </c>
      <c r="L441" s="200">
        <f>L35</f>
        <v>12919.395794102446</v>
      </c>
      <c r="M441" s="200">
        <f>M35</f>
        <v>13484.270050445593</v>
      </c>
      <c r="O441" s="69"/>
    </row>
    <row r="442" spans="2:15" ht="15" customHeight="1" outlineLevel="1">
      <c r="B442" s="72" t="s">
        <v>72</v>
      </c>
      <c r="C442" s="93"/>
      <c r="D442" s="92"/>
      <c r="E442" s="92"/>
      <c r="F442" s="92"/>
      <c r="G442" s="92"/>
      <c r="H442" s="202"/>
      <c r="I442" s="201">
        <f>-I433</f>
        <v>-2200.2038190195003</v>
      </c>
      <c r="J442" s="201">
        <f>-J433</f>
        <v>-2244.919227681235</v>
      </c>
      <c r="K442" s="201">
        <f>-K433</f>
        <v>-2427.3705468503226</v>
      </c>
      <c r="L442" s="201">
        <f>-L433</f>
        <v>-2583.8791588204895</v>
      </c>
      <c r="M442" s="201">
        <f>-M433</f>
        <v>-2696.8540100891187</v>
      </c>
      <c r="O442" s="69"/>
    </row>
    <row r="443" spans="2:15" ht="15" customHeight="1" outlineLevel="1">
      <c r="B443" s="72" t="s">
        <v>71</v>
      </c>
      <c r="C443" s="93"/>
      <c r="D443" s="92"/>
      <c r="E443" s="92"/>
      <c r="F443" s="92"/>
      <c r="G443" s="92"/>
      <c r="H443" s="200">
        <f>H107</f>
        <v>20433.299099999997</v>
      </c>
      <c r="I443" s="200">
        <f>SUM(I440:I442)</f>
        <v>29234.114376077996</v>
      </c>
      <c r="J443" s="200">
        <f>SUM(J440:J442)</f>
        <v>38213.791286802938</v>
      </c>
      <c r="K443" s="200">
        <f>SUM(K440:K442)</f>
        <v>47923.273474204223</v>
      </c>
      <c r="L443" s="200">
        <f>SUM(L440:L442)</f>
        <v>58258.790109486174</v>
      </c>
      <c r="M443" s="200">
        <f>SUM(M440:M442)</f>
        <v>69046.206149842648</v>
      </c>
      <c r="O443" s="69"/>
    </row>
    <row r="444" spans="2:15" ht="15" customHeight="1" outlineLevel="1"/>
    <row r="445" spans="2:15" s="194" customFormat="1" ht="15" customHeight="1" outlineLevel="1">
      <c r="B445" s="199"/>
      <c r="C445" s="198"/>
      <c r="D445" s="197"/>
      <c r="E445" s="197"/>
      <c r="F445" s="197"/>
      <c r="G445" s="197"/>
      <c r="H445" s="197"/>
      <c r="I445" s="196"/>
      <c r="J445" s="196"/>
      <c r="K445" s="196"/>
      <c r="L445" s="196"/>
      <c r="M445" s="196" t="s">
        <v>0</v>
      </c>
      <c r="N445" s="195"/>
      <c r="O445" s="195"/>
    </row>
  </sheetData>
  <conditionalFormatting sqref="D317">
    <cfRule type="expression" dxfId="2" priority="2">
      <formula>$D$317=1</formula>
    </cfRule>
  </conditionalFormatting>
  <conditionalFormatting sqref="F114:M114">
    <cfRule type="expression" dxfId="1" priority="1">
      <formula>F114&lt;&gt;0</formula>
    </cfRule>
  </conditionalFormatting>
  <conditionalFormatting sqref="I155:M155">
    <cfRule type="expression" dxfId="0" priority="3">
      <formula>I$155=1</formula>
    </cfRule>
  </conditionalFormatting>
  <printOptions horizontalCentered="1"/>
  <pageMargins left="0.11811023622047245" right="0.11811023622047245" top="0.11811023622047245" bottom="0.11811023622047245" header="0.11811023622047245" footer="0.11811023622047245"/>
  <pageSetup scale="85" orientation="landscape" r:id="rId1"/>
  <headerFooter alignWithMargins="0">
    <oddFooter>&amp;L&amp;"Open Sans,Bold"&amp;10 &amp;K0020603-Statement Modeling&amp;C&amp;"Open Sans,Bold"&amp;10&amp;K002060Page &amp;P of &amp;N&amp;R&amp;"Open Sans,Bold"&amp;10&amp;K08-046Prepared By: Sanjeeb Bhatta</oddFooter>
  </headerFooter>
  <colBreaks count="1" manualBreakCount="1">
    <brk id="15" max="4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</vt:lpstr>
      <vt:lpstr>Outputs</vt:lpstr>
      <vt:lpstr>Inputs</vt:lpstr>
      <vt:lpstr>Model</vt:lpstr>
      <vt:lpstr>Cover!Print_Area</vt:lpstr>
      <vt:lpstr>Inputs!Print_Area</vt:lpstr>
      <vt:lpstr>Model!Print_Area</vt:lpstr>
      <vt:lpstr>Outputs!Print_Area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Sanjeeb Bhatta</dc:creator>
  <cp:lastModifiedBy>CFI</cp:lastModifiedBy>
  <cp:lastPrinted>2026-07-27T23:27:58Z</cp:lastPrinted>
  <dcterms:created xsi:type="dcterms:W3CDTF">2015-06-05T18:17:20Z</dcterms:created>
  <dcterms:modified xsi:type="dcterms:W3CDTF">2026-07-27T23:47:35Z</dcterms:modified>
</cp:coreProperties>
</file>